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395" yWindow="3990" windowWidth="15195" windowHeight="8445" activeTab="0"/>
  </bookViews>
  <sheets>
    <sheet name="FR 2006" sheetId="1" r:id="rId1"/>
    <sheet name="Group Points" sheetId="2" r:id="rId2"/>
  </sheets>
  <definedNames>
    <definedName name="_xlnm.Print_Area" localSheetId="0">'FR 2006'!$A$2:$X$102</definedName>
    <definedName name="Angola_Against">'FR 2006'!$G$15,'FR 2006'!$F$30,'FR 2006'!$F$47</definedName>
    <definedName name="Angola_Played">'FR 2006'!$F$15,'FR 2006'!$G$30,'FR 2006'!$G$47</definedName>
    <definedName name="Argentina_Against">'FR 2006'!$G$12,'FR 2006'!$G$28,'FR 2006'!$F$44</definedName>
    <definedName name="Argentina_Played">'FR 2006'!$F$12,'FR 2006'!$F$28,'FR 2006'!$G$44</definedName>
    <definedName name="Australia_Against">'FR 2006'!$G$18,'FR 2006'!$F$34,'FR 2006'!$F$51</definedName>
    <definedName name="Australia_Played">'FR 2006'!$F$18,'FR 2006'!$G$34,'FR 2006'!$G$51</definedName>
    <definedName name="Brazil_Against">'FR 2006'!$G$19,'FR 2006'!$G$34,'FR 2006'!$F$50</definedName>
    <definedName name="Brazil_Played">'FR 2006'!$F$19,'FR 2006'!$F$34,'FR 2006'!$G$50</definedName>
    <definedName name="Costa_Against">'FR 2006'!$F$8,'FR 2006'!$F$25,'FR 2006'!$G$41</definedName>
    <definedName name="Costa_Played">'FR 2006'!$G$8,'FR 2006'!$G$25,'FR 2006'!$F$41</definedName>
    <definedName name="Croatia_Against">'FR 2006'!$F$19,'FR 2006'!$F$35,'FR 2006'!$G$51</definedName>
    <definedName name="Croatia_Played">'FR 2006'!$G$19,'FR 2006'!$G$35,'FR 2006'!$F$51</definedName>
    <definedName name="Czech_Against">'FR 2006'!$F$17,'FR 2006'!$G$33,'FR 2006'!$G$48</definedName>
    <definedName name="Czech_Played">'FR 2006'!$G$17,'FR 2006'!$F$33,'FR 2006'!$F$48</definedName>
    <definedName name="Drawpoints">'Group Points'!$B$5</definedName>
    <definedName name="Ecuador_Against">'FR 2006'!$F$9,'FR 2006'!$G$25,'FR 2006'!$G$40</definedName>
    <definedName name="Ecuador_Played">'FR 2006'!$G$9,'FR 2006'!$F$25,'FR 2006'!$F$40</definedName>
    <definedName name="England_Against">'FR 2006'!$G$10,'FR 2006'!$G$26,'FR 2006'!$F$42</definedName>
    <definedName name="England_Played">'FR 2006'!$F$10,'FR 2006'!$F$26,'FR 2006'!$G$42</definedName>
    <definedName name="France_Against">'FR 2006'!$G$20,'FR 2006'!$G$36,'FR 2006'!$F$52</definedName>
    <definedName name="France_Played">'FR 2006'!$F$20,'FR 2006'!$F$36,'FR 2006'!$G$52</definedName>
    <definedName name="Germany_Against">'FR 2006'!$G$8,'FR 2006'!$G$24,'FR 2006'!$F$40</definedName>
    <definedName name="Germany_Played">'FR 2006'!$F$8,'FR 2006'!$F$24,'FR 2006'!$G$40</definedName>
    <definedName name="Ghana_Against">'FR 2006'!$F$16,'FR 2006'!$F$33,'FR 2006'!$G$49</definedName>
    <definedName name="Ghana_Played">'FR 2006'!$G$16,'FR 2006'!$G$33,'FR 2006'!$F$49</definedName>
    <definedName name="Groupstage_Losers">'FR 2006'!$M$8:$M$55</definedName>
    <definedName name="Groupstage_Winners">'FR 2006'!$L$8:$L$55</definedName>
    <definedName name="Iran_Against">'FR 2006'!$F$14,'FR 2006'!$F$31,'FR 2006'!$G$47</definedName>
    <definedName name="Iran_Played">'FR 2006'!$G$14,'FR 2006'!$G$31,'FR 2006'!$F$47</definedName>
    <definedName name="Italy_Against">'FR 2006'!$G$16,'FR 2006'!$G$32,'FR 2006'!$F$48</definedName>
    <definedName name="Italy_Played">'FR 2006'!$F$16,'FR 2006'!$F$32,'FR 2006'!$G$48</definedName>
    <definedName name="Ivory_Against">'FR 2006'!$F$12,'FR 2006'!$F$29,'FR 2006'!$G$45</definedName>
    <definedName name="Ivory_Played">'FR 2006'!$G$12,'FR 2006'!$G$29,'FR 2006'!$F$45</definedName>
    <definedName name="Japan_Against">'FR 2006'!$F$18,'FR 2006'!$G$35,'FR 2006'!$G$50</definedName>
    <definedName name="Japan_Played">'FR 2006'!$G$18,'FR 2006'!$F$35,'FR 2006'!$F$50</definedName>
    <definedName name="Korea_Against">'FR 2006'!$G$21,'FR 2006'!$F$36,'FR 2006'!$F$53</definedName>
    <definedName name="Korea_Played">'FR 2006'!$F$21,'FR 2006'!$G$36,'FR 2006'!$G$53</definedName>
    <definedName name="Mexico_Against">'FR 2006'!$G$14,'FR 2006'!$G$30,'FR 2006'!$F$46</definedName>
    <definedName name="Mexico_Played">'FR 2006'!$F$14,'FR 2006'!$F$30,'FR 2006'!$G$46</definedName>
    <definedName name="Netherlands_Against">'FR 2006'!$F$13,'FR 2006'!$G$29,'FR 2006'!$G$44</definedName>
    <definedName name="Netherlands_Played">'FR 2006'!$G$13,'FR 2006'!$F$29,'FR 2006'!$F$44</definedName>
    <definedName name="Paraguay_Against">'FR 2006'!$F$10,'FR 2006'!$F$27,'FR 2006'!$G$43</definedName>
    <definedName name="Paraguay_Played">'FR 2006'!$G$10,'FR 2006'!$G$27,'FR 2006'!$F$43</definedName>
    <definedName name="Poland_Against">'FR 2006'!$G$9,'FR 2006'!$F$24,'FR 2006'!$F$41</definedName>
    <definedName name="Poland_Played">'FR 2006'!$F$9,'FR 2006'!$G$24,'FR 2006'!$G$41</definedName>
    <definedName name="Portugal_Against">'FR 2006'!$F$15,'FR 2006'!$G$31,'FR 2006'!$G$46</definedName>
    <definedName name="Portugal_Played">'FR 2006'!$G$15,'FR 2006'!$F$31,'FR 2006'!$F$46</definedName>
    <definedName name="Saudi_Against">'FR 2006'!$F$23,'FR 2006'!$G$39,'FR 2006'!$G$54</definedName>
    <definedName name="Saudi_Played">'FR 2006'!$G$23,'FR 2006'!$F$39,'FR 2006'!$F$54</definedName>
    <definedName name="Serbia_Against">'FR 2006'!$G$13,'FR 2006'!$F$28,'FR 2006'!$F$45</definedName>
    <definedName name="Serbia_Played">'FR 2006'!$F$13,'FR 2006'!$G$28,'FR 2006'!$G$45</definedName>
    <definedName name="Spain_Against">'FR 2006'!$G$22,'FR 2006'!$G$38,'FR 2006'!$F$54</definedName>
    <definedName name="Spain_Played">'FR 2006'!$F$22,'FR 2006'!$F$38,'FR 2006'!$G$54</definedName>
    <definedName name="Sweden_Against">'FR 2006'!$F$11,'FR 2006'!$G$27,'FR 2006'!$G$42</definedName>
    <definedName name="Sweden_Played">'FR 2006'!$G$11,'FR 2006'!$F$27,'FR 2006'!$F$42</definedName>
    <definedName name="Switzerland_Against">'FR 2006'!$F$20,'FR 2006'!$F$37,'FR 2006'!$G$53</definedName>
    <definedName name="Switzerland_Played">'FR 2006'!$G$20,'FR 2006'!$G$37,'FR 2006'!$F$53</definedName>
    <definedName name="Togo_Against">'FR 2006'!$F$21,'FR 2006'!$G$37,'FR 2006'!$G$52</definedName>
    <definedName name="Togo_Played">'FR 2006'!$G$21,'FR 2006'!$F$37,'FR 2006'!$F$52</definedName>
    <definedName name="Trinidad_Against">'FR 2006'!$G$11,'FR 2006'!$F$26,'FR 2006'!$F$43</definedName>
    <definedName name="Trinidad_Played">'FR 2006'!$F$11,'FR 2006'!$G$26,'FR 2006'!$G$43</definedName>
    <definedName name="Tunisia_Against">'FR 2006'!$G$23,'FR 2006'!$F$38,'FR 2006'!$F$55</definedName>
    <definedName name="Tunisia_Played">'FR 2006'!$F$23,'FR 2006'!$G$38,'FR 2006'!$G$55</definedName>
    <definedName name="Ukraine_Against">'FR 2006'!$F$22,'FR 2006'!$F$39,'FR 2006'!$G$55</definedName>
    <definedName name="Ukraine_Played">'FR 2006'!$G$22,'FR 2006'!$G$39,'FR 2006'!$F$55</definedName>
    <definedName name="USA_Against">'FR 2006'!$G$17,'FR 2006'!$F$32,'FR 2006'!$F$49</definedName>
    <definedName name="USA_Played">'FR 2006'!$F$17,'FR 2006'!$G$32,'FR 2006'!$G$49</definedName>
    <definedName name="Winpoints">'Group Points'!$B$4</definedName>
  </definedNames>
  <calcPr fullCalcOnLoad="1"/>
</workbook>
</file>

<file path=xl/comments1.xml><?xml version="1.0" encoding="utf-8"?>
<comments xmlns="http://schemas.openxmlformats.org/spreadsheetml/2006/main">
  <authors>
    <author>Nedbank Ltd</author>
  </authors>
  <commentList>
    <comment ref="D18" authorId="0">
      <text>
        <r>
          <rPr>
            <sz val="8"/>
            <rFont val="Tahoma"/>
            <family val="0"/>
          </rPr>
          <t>This is actually correct. It is how FIFA has numbered the game.</t>
        </r>
      </text>
    </comment>
    <comment ref="D19" authorId="0">
      <text>
        <r>
          <rPr>
            <sz val="8"/>
            <rFont val="Tahoma"/>
            <family val="0"/>
          </rPr>
          <t xml:space="preserve">This is actually correct. It is how FIFA has numbered the game.
</t>
        </r>
      </text>
    </comment>
  </commentList>
</comments>
</file>

<file path=xl/sharedStrings.xml><?xml version="1.0" encoding="utf-8"?>
<sst xmlns="http://schemas.openxmlformats.org/spreadsheetml/2006/main" count="608" uniqueCount="116">
  <si>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</si>
  <si>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</si>
  <si>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</si>
  <si>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</si>
  <si>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</si>
  <si>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</si>
  <si>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</si>
  <si>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</si>
  <si>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</si>
  <si>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</si>
  <si>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</si>
  <si>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</si>
  <si>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Group A</t>
  </si>
  <si>
    <t>Date</t>
  </si>
  <si>
    <t>Time</t>
  </si>
  <si>
    <t>Venue</t>
  </si>
  <si>
    <t>Gp</t>
  </si>
  <si>
    <t>P</t>
  </si>
  <si>
    <t>W</t>
  </si>
  <si>
    <t>L</t>
  </si>
  <si>
    <t>D</t>
  </si>
  <si>
    <t>F</t>
  </si>
  <si>
    <t>A</t>
  </si>
  <si>
    <t>GD</t>
  </si>
  <si>
    <t>Pts</t>
  </si>
  <si>
    <t>France</t>
  </si>
  <si>
    <t>Played</t>
  </si>
  <si>
    <t>Points</t>
  </si>
  <si>
    <t>Team</t>
  </si>
  <si>
    <t>E</t>
  </si>
  <si>
    <t>Germany</t>
  </si>
  <si>
    <t>Saudi Arabia</t>
  </si>
  <si>
    <t>England</t>
  </si>
  <si>
    <t>Sweden</t>
  </si>
  <si>
    <t>Group B</t>
  </si>
  <si>
    <t>Paraguay</t>
  </si>
  <si>
    <t>B</t>
  </si>
  <si>
    <t>Argentina</t>
  </si>
  <si>
    <t>Spain</t>
  </si>
  <si>
    <t>Croatia</t>
  </si>
  <si>
    <t>Mexico</t>
  </si>
  <si>
    <t>G</t>
  </si>
  <si>
    <t>Brazil</t>
  </si>
  <si>
    <t>C</t>
  </si>
  <si>
    <t>Italy</t>
  </si>
  <si>
    <t>Ecuador</t>
  </si>
  <si>
    <t>Costa Rica</t>
  </si>
  <si>
    <t>Group C</t>
  </si>
  <si>
    <t>Japan</t>
  </si>
  <si>
    <t>H</t>
  </si>
  <si>
    <t>South Korea</t>
  </si>
  <si>
    <t>Poland</t>
  </si>
  <si>
    <t>Tunisia</t>
  </si>
  <si>
    <t>USA</t>
  </si>
  <si>
    <t>Portugal</t>
  </si>
  <si>
    <t>Group D</t>
  </si>
  <si>
    <t>Group E</t>
  </si>
  <si>
    <t xml:space="preserve"> </t>
  </si>
  <si>
    <t>Group F</t>
  </si>
  <si>
    <t>Group G</t>
  </si>
  <si>
    <t>Group H</t>
  </si>
  <si>
    <t xml:space="preserve">   </t>
  </si>
  <si>
    <t xml:space="preserve">  </t>
  </si>
  <si>
    <t>Winner:</t>
  </si>
  <si>
    <t>Groupstage</t>
  </si>
  <si>
    <t>Points for a win</t>
  </si>
  <si>
    <t>Points for a draw</t>
  </si>
  <si>
    <t>Ivory Coast</t>
  </si>
  <si>
    <t>Netherlands</t>
  </si>
  <si>
    <t>Angola</t>
  </si>
  <si>
    <t>Iran</t>
  </si>
  <si>
    <t>Ghana</t>
  </si>
  <si>
    <t>Australia</t>
  </si>
  <si>
    <t>Switzerland</t>
  </si>
  <si>
    <t>Togo</t>
  </si>
  <si>
    <t>Ukraine</t>
  </si>
  <si>
    <t>Munich</t>
  </si>
  <si>
    <t>Gelsenkirchen</t>
  </si>
  <si>
    <t>Frankfurt</t>
  </si>
  <si>
    <t>Dortmund</t>
  </si>
  <si>
    <t>Hamburg</t>
  </si>
  <si>
    <t>Leipzig</t>
  </si>
  <si>
    <t>Nuremburg</t>
  </si>
  <si>
    <t>Cologne</t>
  </si>
  <si>
    <t>Hanover</t>
  </si>
  <si>
    <t>Berlin</t>
  </si>
  <si>
    <t>Stuttgart</t>
  </si>
  <si>
    <t>Trinidad</t>
  </si>
  <si>
    <t>Serbia</t>
  </si>
  <si>
    <t>Czech Rep</t>
  </si>
  <si>
    <t>Kaiserslautern</t>
  </si>
  <si>
    <t>Match</t>
  </si>
  <si>
    <t>Stadium</t>
  </si>
  <si>
    <t>Olympiastadion</t>
  </si>
  <si>
    <t>Westfalenstadion</t>
  </si>
  <si>
    <t>Waldstadion</t>
  </si>
  <si>
    <t>Fritz-Walter Stadium</t>
  </si>
  <si>
    <t>Frankenstadion</t>
  </si>
  <si>
    <t>Gottlieb-Daimler Stadion</t>
  </si>
  <si>
    <t>Zentralstadion</t>
  </si>
  <si>
    <t>Allianz Arena</t>
  </si>
  <si>
    <t>Arena AufSchalke</t>
  </si>
  <si>
    <t>AOL-Arena</t>
  </si>
  <si>
    <t>AWD-Arena</t>
  </si>
  <si>
    <t>Rhein Energie Stadion</t>
  </si>
  <si>
    <t>Germany 2006 Electronic Wallchart</t>
  </si>
  <si>
    <t>Rank</t>
  </si>
  <si>
    <t>Group Tables are calculated automatically in the traditional way (Pts, GD, GF). After all the games of a Group are completed, manually RANK the teams (1-4) based on the FIFA rules supplied adjacently. Teams ranked 1 &amp; 2 will go through to the knockout stage.</t>
  </si>
  <si>
    <t>Total tournament goals:</t>
  </si>
  <si>
    <t>Third Place:</t>
  </si>
  <si>
    <t xml:space="preserve">Final                       </t>
  </si>
  <si>
    <t xml:space="preserve">Third-place                    </t>
  </si>
  <si>
    <t xml:space="preserve">Semi-Finals                    </t>
  </si>
  <si>
    <t xml:space="preserve">Quarter-Finals                 </t>
  </si>
  <si>
    <t xml:space="preserve">Second Round                    </t>
  </si>
  <si>
    <t xml:space="preserve">Group Stage                    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</si>
</sst>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17">
    <font>
      <sz val="10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2"/>
      <color indexed="9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8"/>
      <name val="Arial"/>
      <family val="0"/>
    </font>
    <font>
      <b/>
      <sz val="17"/>
      <name val="Verdana"/>
      <family val="2"/>
    </font>
    <font>
      <sz val="8"/>
      <name val="Tahoma"/>
      <family val="0"/>
    </font>
    <font>
      <b/>
      <sz val="10"/>
      <color indexed="9"/>
      <name val="Verdana"/>
      <family val="2"/>
    </font>
    <font>
      <b/>
      <sz val="10"/>
      <color indexed="53"/>
      <name val="Verdana"/>
      <family val="2"/>
    </font>
    <font>
      <b/>
      <sz val="10"/>
      <color indexed="57"/>
      <name val="Verdana"/>
      <family val="2"/>
    </font>
    <font>
      <b/>
      <sz val="10"/>
      <color indexed="57"/>
      <name val="Arial"/>
      <family val="0"/>
    </font>
    <font>
      <b/>
      <sz val="9"/>
      <color indexed="57"/>
      <name val="Verdan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Continuous" wrapText="1"/>
      <protection/>
    </xf>
    <xf numFmtId="0" fontId="3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right"/>
      <protection/>
    </xf>
    <xf numFmtId="16" fontId="1" fillId="0" borderId="0" xfId="0" applyNumberFormat="1" applyFont="1" applyBorder="1" applyAlignment="1" applyProtection="1">
      <alignment/>
      <protection/>
    </xf>
    <xf numFmtId="2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" fontId="1" fillId="0" borderId="0" xfId="0" applyNumberFormat="1" applyFont="1" applyAlignment="1" applyProtection="1">
      <alignment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7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1" fontId="12" fillId="5" borderId="13" xfId="0" applyNumberFormat="1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/>
      <protection/>
    </xf>
    <xf numFmtId="0" fontId="11" fillId="7" borderId="13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15" fillId="9" borderId="11" xfId="0" applyFont="1" applyFill="1" applyBorder="1" applyAlignment="1" applyProtection="1">
      <alignment vertical="center" wrapText="1"/>
      <protection/>
    </xf>
    <xf numFmtId="0" fontId="14" fillId="9" borderId="4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vertical="center" wrapText="1"/>
    </xf>
    <xf numFmtId="0" fontId="14" fillId="9" borderId="0" xfId="0" applyFont="1" applyFill="1" applyBorder="1" applyAlignment="1">
      <alignment vertical="center" wrapText="1"/>
    </xf>
    <xf numFmtId="0" fontId="14" fillId="9" borderId="7" xfId="0" applyFont="1" applyFill="1" applyBorder="1" applyAlignment="1">
      <alignment vertical="center" wrapText="1"/>
    </xf>
    <xf numFmtId="0" fontId="14" fillId="9" borderId="8" xfId="0" applyFont="1" applyFill="1" applyBorder="1" applyAlignment="1">
      <alignment vertical="center" wrapText="1"/>
    </xf>
    <xf numFmtId="0" fontId="14" fillId="9" borderId="9" xfId="0" applyFont="1" applyFill="1" applyBorder="1" applyAlignment="1">
      <alignment vertical="center" wrapText="1"/>
    </xf>
    <xf numFmtId="0" fontId="14" fillId="9" borderId="10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top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4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emf" /><Relationship Id="rId25" Type="http://schemas.openxmlformats.org/officeDocument/2006/relationships/image" Target="../media/image11.png" /><Relationship Id="rId26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19050</xdr:rowOff>
    </xdr:from>
    <xdr:to>
      <xdr:col>4</xdr:col>
      <xdr:colOff>876300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95250</xdr:colOff>
      <xdr:row>96</xdr:row>
      <xdr:rowOff>38100</xdr:rowOff>
    </xdr:from>
    <xdr:to>
      <xdr:col>78</xdr:col>
      <xdr:colOff>466725</xdr:colOff>
      <xdr:row>101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0975" y="173640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238125</xdr:colOff>
      <xdr:row>93</xdr:row>
      <xdr:rowOff>104775</xdr:rowOff>
    </xdr:from>
    <xdr:to>
      <xdr:col>79</xdr:col>
      <xdr:colOff>219075</xdr:colOff>
      <xdr:row>95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863084">
          <a:off x="11144250" y="168783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80</xdr:row>
      <xdr:rowOff>19050</xdr:rowOff>
    </xdr:from>
    <xdr:to>
      <xdr:col>21</xdr:col>
      <xdr:colOff>95250</xdr:colOff>
      <xdr:row>91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4487525"/>
          <a:ext cx="16192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65</xdr:row>
      <xdr:rowOff>104775</xdr:rowOff>
    </xdr:from>
    <xdr:to>
      <xdr:col>23</xdr:col>
      <xdr:colOff>219075</xdr:colOff>
      <xdr:row>79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81950" y="11982450"/>
          <a:ext cx="28860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180975</xdr:colOff>
      <xdr:row>14</xdr:row>
      <xdr:rowOff>104775</xdr:rowOff>
    </xdr:from>
    <xdr:to>
      <xdr:col>79</xdr:col>
      <xdr:colOff>333375</xdr:colOff>
      <xdr:row>30</xdr:row>
      <xdr:rowOff>19050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87100" y="3048000"/>
          <a:ext cx="1981200" cy="2714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76</xdr:col>
      <xdr:colOff>180975</xdr:colOff>
      <xdr:row>30</xdr:row>
      <xdr:rowOff>114300</xdr:rowOff>
    </xdr:from>
    <xdr:to>
      <xdr:col>79</xdr:col>
      <xdr:colOff>333375</xdr:colOff>
      <xdr:row>44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87100" y="5857875"/>
          <a:ext cx="1981200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76</xdr:col>
      <xdr:colOff>190500</xdr:colOff>
      <xdr:row>44</xdr:row>
      <xdr:rowOff>104775</xdr:rowOff>
    </xdr:from>
    <xdr:to>
      <xdr:col>79</xdr:col>
      <xdr:colOff>342900</xdr:colOff>
      <xdr:row>59</xdr:row>
      <xdr:rowOff>95250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96625" y="8305800"/>
          <a:ext cx="1981200" cy="2638425"/>
        </a:xfrm>
        <a:prstGeom prst="rect">
          <a:avLst/>
        </a:prstGeom>
        <a:solidFill>
          <a:srgbClr val="99CC00"/>
        </a:solidFill>
        <a:ln w="9525" cmpd="sng">
          <a:noFill/>
        </a:ln>
      </xdr:spPr>
    </xdr:pic>
    <xdr:clientData/>
  </xdr:twoCellAnchor>
  <xdr:twoCellAnchor editAs="oneCell">
    <xdr:from>
      <xdr:col>76</xdr:col>
      <xdr:colOff>200025</xdr:colOff>
      <xdr:row>60</xdr:row>
      <xdr:rowOff>19050</xdr:rowOff>
    </xdr:from>
    <xdr:to>
      <xdr:col>79</xdr:col>
      <xdr:colOff>352425</xdr:colOff>
      <xdr:row>76</xdr:row>
      <xdr:rowOff>95250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06150" y="11039475"/>
          <a:ext cx="1981200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76</xdr:col>
      <xdr:colOff>209550</xdr:colOff>
      <xdr:row>77</xdr:row>
      <xdr:rowOff>19050</xdr:rowOff>
    </xdr:from>
    <xdr:to>
      <xdr:col>79</xdr:col>
      <xdr:colOff>361950</xdr:colOff>
      <xdr:row>92</xdr:row>
      <xdr:rowOff>47625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15675" y="13973175"/>
          <a:ext cx="1981200" cy="2686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95250</xdr:colOff>
      <xdr:row>1</xdr:row>
      <xdr:rowOff>333375</xdr:rowOff>
    </xdr:from>
    <xdr:to>
      <xdr:col>10</xdr:col>
      <xdr:colOff>171450</xdr:colOff>
      <xdr:row>3</xdr:row>
      <xdr:rowOff>104775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495300"/>
          <a:ext cx="427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102</xdr:row>
      <xdr:rowOff>38100</xdr:rowOff>
    </xdr:from>
    <xdr:to>
      <xdr:col>2</xdr:col>
      <xdr:colOff>123825</xdr:colOff>
      <xdr:row>107</xdr:row>
      <xdr:rowOff>104775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18449925"/>
          <a:ext cx="10096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209550</xdr:colOff>
      <xdr:row>102</xdr:row>
      <xdr:rowOff>47625</xdr:rowOff>
    </xdr:from>
    <xdr:to>
      <xdr:col>3</xdr:col>
      <xdr:colOff>600075</xdr:colOff>
      <xdr:row>107</xdr:row>
      <xdr:rowOff>114300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81100" y="18459450"/>
          <a:ext cx="10096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57150</xdr:colOff>
      <xdr:row>102</xdr:row>
      <xdr:rowOff>47625</xdr:rowOff>
    </xdr:from>
    <xdr:to>
      <xdr:col>5</xdr:col>
      <xdr:colOff>28575</xdr:colOff>
      <xdr:row>107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66950" y="18459450"/>
          <a:ext cx="10096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114300</xdr:colOff>
      <xdr:row>102</xdr:row>
      <xdr:rowOff>38100</xdr:rowOff>
    </xdr:from>
    <xdr:to>
      <xdr:col>7</xdr:col>
      <xdr:colOff>628650</xdr:colOff>
      <xdr:row>107</xdr:row>
      <xdr:rowOff>114300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62325" y="18449925"/>
          <a:ext cx="10096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714375</xdr:colOff>
      <xdr:row>102</xdr:row>
      <xdr:rowOff>38100</xdr:rowOff>
    </xdr:from>
    <xdr:to>
      <xdr:col>8</xdr:col>
      <xdr:colOff>685800</xdr:colOff>
      <xdr:row>107</xdr:row>
      <xdr:rowOff>104775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57700" y="18449925"/>
          <a:ext cx="10096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771525</xdr:colOff>
      <xdr:row>102</xdr:row>
      <xdr:rowOff>28575</xdr:rowOff>
    </xdr:from>
    <xdr:to>
      <xdr:col>9</xdr:col>
      <xdr:colOff>66675</xdr:colOff>
      <xdr:row>107</xdr:row>
      <xdr:rowOff>95250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53075" y="18440400"/>
          <a:ext cx="10096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152400</xdr:colOff>
      <xdr:row>102</xdr:row>
      <xdr:rowOff>28575</xdr:rowOff>
    </xdr:from>
    <xdr:to>
      <xdr:col>10</xdr:col>
      <xdr:colOff>209550</xdr:colOff>
      <xdr:row>107</xdr:row>
      <xdr:rowOff>85725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48450" y="18440400"/>
          <a:ext cx="100965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276225</xdr:colOff>
      <xdr:row>102</xdr:row>
      <xdr:rowOff>28575</xdr:rowOff>
    </xdr:from>
    <xdr:to>
      <xdr:col>15</xdr:col>
      <xdr:colOff>371475</xdr:colOff>
      <xdr:row>107</xdr:row>
      <xdr:rowOff>85725</xdr:rowOff>
    </xdr:to>
    <xdr:pic>
      <xdr:nvPicPr>
        <xdr:cNvPr id="19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24775" y="18440400"/>
          <a:ext cx="100965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457200</xdr:colOff>
      <xdr:row>102</xdr:row>
      <xdr:rowOff>28575</xdr:rowOff>
    </xdr:from>
    <xdr:to>
      <xdr:col>19</xdr:col>
      <xdr:colOff>38100</xdr:colOff>
      <xdr:row>107</xdr:row>
      <xdr:rowOff>76200</xdr:rowOff>
    </xdr:to>
    <xdr:pic>
      <xdr:nvPicPr>
        <xdr:cNvPr id="20" name="Picture 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820150" y="18440400"/>
          <a:ext cx="10096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114300</xdr:colOff>
      <xdr:row>102</xdr:row>
      <xdr:rowOff>19050</xdr:rowOff>
    </xdr:from>
    <xdr:to>
      <xdr:col>76</xdr:col>
      <xdr:colOff>9525</xdr:colOff>
      <xdr:row>107</xdr:row>
      <xdr:rowOff>76200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906000" y="18430875"/>
          <a:ext cx="100965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76</xdr:col>
      <xdr:colOff>95250</xdr:colOff>
      <xdr:row>102</xdr:row>
      <xdr:rowOff>9525</xdr:rowOff>
    </xdr:from>
    <xdr:to>
      <xdr:col>77</xdr:col>
      <xdr:colOff>495300</xdr:colOff>
      <xdr:row>107</xdr:row>
      <xdr:rowOff>85725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001375" y="18421350"/>
          <a:ext cx="10096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77</xdr:col>
      <xdr:colOff>581025</xdr:colOff>
      <xdr:row>102</xdr:row>
      <xdr:rowOff>0</xdr:rowOff>
    </xdr:from>
    <xdr:to>
      <xdr:col>79</xdr:col>
      <xdr:colOff>371475</xdr:colOff>
      <xdr:row>107</xdr:row>
      <xdr:rowOff>76200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096750" y="18411825"/>
          <a:ext cx="10096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76</xdr:col>
      <xdr:colOff>180975</xdr:colOff>
      <xdr:row>0</xdr:row>
      <xdr:rowOff>57150</xdr:rowOff>
    </xdr:from>
    <xdr:to>
      <xdr:col>79</xdr:col>
      <xdr:colOff>323850</xdr:colOff>
      <xdr:row>14</xdr:row>
      <xdr:rowOff>47625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087100" y="57150"/>
          <a:ext cx="19716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92</xdr:row>
      <xdr:rowOff>66675</xdr:rowOff>
    </xdr:from>
    <xdr:to>
      <xdr:col>19</xdr:col>
      <xdr:colOff>57150</xdr:colOff>
      <xdr:row>101</xdr:row>
      <xdr:rowOff>104775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953500" y="16678275"/>
          <a:ext cx="895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61</xdr:row>
      <xdr:rowOff>85725</xdr:rowOff>
    </xdr:from>
    <xdr:to>
      <xdr:col>76</xdr:col>
      <xdr:colOff>76200</xdr:colOff>
      <xdr:row>65</xdr:row>
      <xdr:rowOff>57150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877175" y="11277600"/>
          <a:ext cx="3105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27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Z102"/>
  <sheetViews>
    <sheetView showGridLines="0" showRowColHeaders="0" tabSelected="1" zoomScale="75" zoomScaleNormal="75" workbookViewId="0" topLeftCell="A1">
      <selection activeCell="O8" sqref="O8"/>
    </sheetView>
  </sheetViews>
  <sheetFormatPr defaultColWidth="9.140625" defaultRowHeight="12.75"/>
  <cols>
    <col min="1" max="1" width="5.28125" style="1" customWidth="1"/>
    <col min="2" max="3" width="9.28125" style="1" bestFit="1" customWidth="1"/>
    <col min="4" max="4" width="9.28125" style="1" customWidth="1"/>
    <col min="5" max="5" width="15.57421875" style="2" customWidth="1"/>
    <col min="6" max="6" width="3.7109375" style="2" customWidth="1"/>
    <col min="7" max="7" width="3.7109375" style="1" customWidth="1"/>
    <col min="8" max="8" width="15.57421875" style="2" customWidth="1"/>
    <col min="9" max="9" width="25.7109375" style="2" customWidth="1"/>
    <col min="10" max="10" width="14.28125" style="1" bestFit="1" customWidth="1"/>
    <col min="11" max="11" width="4.28125" style="1" customWidth="1"/>
    <col min="12" max="12" width="15.421875" style="1" hidden="1" customWidth="1"/>
    <col min="13" max="13" width="12.57421875" style="1" hidden="1" customWidth="1"/>
    <col min="14" max="14" width="3.140625" style="1" customWidth="1"/>
    <col min="15" max="15" width="6.28125" style="1" bestFit="1" customWidth="1"/>
    <col min="16" max="16" width="14.00390625" style="1" customWidth="1"/>
    <col min="17" max="17" width="2.28125" style="1" customWidth="1"/>
    <col min="18" max="18" width="2.8515625" style="1" customWidth="1"/>
    <col min="19" max="19" width="2.28125" style="1" customWidth="1"/>
    <col min="20" max="20" width="2.00390625" style="1" customWidth="1"/>
    <col min="21" max="22" width="3.28125" style="1" customWidth="1"/>
    <col min="23" max="23" width="4.28125" style="1" customWidth="1"/>
    <col min="24" max="24" width="3.8515625" style="1" customWidth="1"/>
    <col min="25" max="25" width="6.28125" style="1" hidden="1" customWidth="1"/>
    <col min="26" max="26" width="9.140625" style="1" hidden="1" customWidth="1"/>
    <col min="27" max="27" width="9.28125" style="1" hidden="1" customWidth="1"/>
    <col min="28" max="28" width="2.8515625" style="1" hidden="1" customWidth="1"/>
    <col min="29" max="29" width="2.00390625" style="1" hidden="1" customWidth="1"/>
    <col min="30" max="30" width="3.421875" style="1" hidden="1" customWidth="1"/>
    <col min="31" max="31" width="2.140625" style="1" hidden="1" customWidth="1"/>
    <col min="32" max="33" width="8.8515625" style="1" hidden="1" customWidth="1"/>
    <col min="34" max="34" width="6.28125" style="1" hidden="1" customWidth="1"/>
    <col min="35" max="35" width="9.140625" style="1" hidden="1" customWidth="1"/>
    <col min="36" max="36" width="9.28125" style="1" hidden="1" customWidth="1"/>
    <col min="37" max="76" width="9.140625" style="1" hidden="1" customWidth="1"/>
    <col min="77" max="16384" width="9.140625" style="1" customWidth="1"/>
  </cols>
  <sheetData>
    <row r="1" ht="12.75"/>
    <row r="2" spans="6:24" ht="54.75" customHeight="1">
      <c r="F2" s="62" t="s">
        <v>105</v>
      </c>
      <c r="G2" s="62"/>
      <c r="H2" s="62"/>
      <c r="I2" s="62"/>
      <c r="J2" s="62"/>
      <c r="K2" s="62"/>
      <c r="L2" s="3"/>
      <c r="M2" s="3"/>
      <c r="N2" s="3"/>
      <c r="O2" s="50" t="s">
        <v>107</v>
      </c>
      <c r="P2" s="51"/>
      <c r="Q2" s="51"/>
      <c r="R2" s="51"/>
      <c r="S2" s="51"/>
      <c r="T2" s="51"/>
      <c r="U2" s="51"/>
      <c r="V2" s="51"/>
      <c r="W2" s="51"/>
      <c r="X2" s="52"/>
    </row>
    <row r="3" spans="15:24" ht="12.75" customHeight="1">
      <c r="O3" s="53"/>
      <c r="P3" s="54"/>
      <c r="Q3" s="54"/>
      <c r="R3" s="54"/>
      <c r="S3" s="54"/>
      <c r="T3" s="54"/>
      <c r="U3" s="54"/>
      <c r="V3" s="54"/>
      <c r="W3" s="54"/>
      <c r="X3" s="55"/>
    </row>
    <row r="4" spans="12:60" ht="11.25" customHeight="1">
      <c r="L4" s="1" t="s">
        <v>0</v>
      </c>
      <c r="M4" s="1" t="s">
        <v>1</v>
      </c>
      <c r="O4" s="56"/>
      <c r="P4" s="57"/>
      <c r="Q4" s="57"/>
      <c r="R4" s="57"/>
      <c r="S4" s="57"/>
      <c r="T4" s="57"/>
      <c r="U4" s="57"/>
      <c r="V4" s="57"/>
      <c r="W4" s="57"/>
      <c r="X4" s="58"/>
      <c r="Z4" s="1" t="s">
        <v>2</v>
      </c>
      <c r="AI4" s="1" t="s">
        <v>3</v>
      </c>
      <c r="AK4" s="1" t="s">
        <v>4</v>
      </c>
      <c r="AM4" s="1" t="s">
        <v>5</v>
      </c>
      <c r="AP4" s="1" t="s">
        <v>6</v>
      </c>
      <c r="AS4" s="1" t="s">
        <v>7</v>
      </c>
      <c r="AV4" s="1" t="s">
        <v>8</v>
      </c>
      <c r="AZ4" s="1" t="s">
        <v>9</v>
      </c>
      <c r="BD4" s="1" t="s">
        <v>10</v>
      </c>
      <c r="BH4" s="1" t="s">
        <v>11</v>
      </c>
    </row>
    <row r="5" spans="2:24" ht="15">
      <c r="B5" s="59" t="s">
        <v>115</v>
      </c>
      <c r="C5" s="63"/>
      <c r="D5" s="63"/>
      <c r="E5" s="63"/>
      <c r="F5" s="63"/>
      <c r="G5" s="63"/>
      <c r="H5" s="63"/>
      <c r="I5" s="63"/>
      <c r="J5" s="63"/>
      <c r="K5" s="64"/>
      <c r="O5" s="44"/>
      <c r="P5" s="4" t="s">
        <v>12</v>
      </c>
      <c r="Q5" s="5"/>
      <c r="R5" s="5"/>
      <c r="S5" s="5"/>
      <c r="T5" s="5"/>
      <c r="U5" s="5"/>
      <c r="V5" s="5"/>
      <c r="W5" s="5"/>
      <c r="X5" s="6"/>
    </row>
    <row r="6" spans="2:24" ht="15">
      <c r="B6" s="7" t="s">
        <v>13</v>
      </c>
      <c r="C6" s="8" t="s">
        <v>14</v>
      </c>
      <c r="D6" s="8" t="s">
        <v>91</v>
      </c>
      <c r="E6" s="9"/>
      <c r="F6" s="9"/>
      <c r="G6" s="9"/>
      <c r="H6" s="9"/>
      <c r="I6" s="9" t="s">
        <v>92</v>
      </c>
      <c r="J6" s="9" t="s">
        <v>15</v>
      </c>
      <c r="K6" s="10" t="s">
        <v>16</v>
      </c>
      <c r="O6" s="45" t="s">
        <v>106</v>
      </c>
      <c r="P6" s="41" t="s">
        <v>28</v>
      </c>
      <c r="Q6" s="11" t="s">
        <v>17</v>
      </c>
      <c r="R6" s="11" t="s">
        <v>18</v>
      </c>
      <c r="S6" s="11" t="s">
        <v>20</v>
      </c>
      <c r="T6" s="11" t="s">
        <v>19</v>
      </c>
      <c r="U6" s="11" t="s">
        <v>21</v>
      </c>
      <c r="V6" s="11" t="s">
        <v>22</v>
      </c>
      <c r="W6" s="11" t="s">
        <v>23</v>
      </c>
      <c r="X6" s="12" t="s">
        <v>24</v>
      </c>
    </row>
    <row r="7" spans="2:78" ht="13.5" thickBot="1">
      <c r="B7" s="13"/>
      <c r="C7" s="13"/>
      <c r="D7" s="13"/>
      <c r="E7" s="14"/>
      <c r="F7" s="15"/>
      <c r="G7" s="15"/>
      <c r="H7" s="16"/>
      <c r="I7" s="16"/>
      <c r="J7" s="15"/>
      <c r="K7" s="15"/>
      <c r="O7" s="43"/>
      <c r="P7" s="17" t="str">
        <f aca="true" t="shared" si="0" ref="P7:R10">BO9</f>
        <v>Costa Rica</v>
      </c>
      <c r="Q7" s="18">
        <f t="shared" si="0"/>
        <v>1</v>
      </c>
      <c r="R7" s="18">
        <f t="shared" si="0"/>
        <v>1</v>
      </c>
      <c r="S7" s="18">
        <f>BS9</f>
        <v>0</v>
      </c>
      <c r="T7" s="18">
        <f>BR9</f>
        <v>0</v>
      </c>
      <c r="U7" s="18">
        <f aca="true" t="shared" si="1" ref="U7:X10">BT9</f>
        <v>2</v>
      </c>
      <c r="V7" s="18">
        <f t="shared" si="1"/>
        <v>1</v>
      </c>
      <c r="W7" s="18">
        <f t="shared" si="1"/>
        <v>1</v>
      </c>
      <c r="X7" s="19">
        <f t="shared" si="1"/>
        <v>3</v>
      </c>
      <c r="Z7" s="1" t="s">
        <v>12</v>
      </c>
      <c r="BZ7" s="1" t="s">
        <v>57</v>
      </c>
    </row>
    <row r="8" spans="2:75" ht="13.5" thickBot="1">
      <c r="B8" s="20">
        <v>38877</v>
      </c>
      <c r="C8" s="21">
        <v>0.75</v>
      </c>
      <c r="D8" s="39">
        <v>1</v>
      </c>
      <c r="E8" s="24" t="s">
        <v>30</v>
      </c>
      <c r="F8" s="42">
        <v>1</v>
      </c>
      <c r="G8" s="42">
        <v>2</v>
      </c>
      <c r="H8" s="1" t="s">
        <v>46</v>
      </c>
      <c r="I8" s="1" t="s">
        <v>100</v>
      </c>
      <c r="J8" s="22" t="s">
        <v>76</v>
      </c>
      <c r="K8" s="23" t="s">
        <v>22</v>
      </c>
      <c r="L8" s="1" t="str">
        <f aca="true" t="shared" si="2" ref="L8:L17">IF(F8&lt;&gt;"",IF(F8&gt;G8,E8,IF(G8&gt;F8,H8,"Draw")),"")</f>
        <v>Costa Rica</v>
      </c>
      <c r="M8" s="1" t="str">
        <f aca="true" t="shared" si="3" ref="M8:M17">IF(F8&lt;&gt;"",IF(F8&lt;G8,E8,IF(G8&lt;F8,H8,"Draw")),"")</f>
        <v>Germany</v>
      </c>
      <c r="O8" s="43"/>
      <c r="P8" s="17" t="str">
        <f t="shared" si="0"/>
        <v>Ecuador</v>
      </c>
      <c r="Q8" s="18">
        <f t="shared" si="0"/>
        <v>0</v>
      </c>
      <c r="R8" s="18">
        <f t="shared" si="0"/>
        <v>0</v>
      </c>
      <c r="S8" s="18">
        <f>BS10</f>
        <v>0</v>
      </c>
      <c r="T8" s="18">
        <f>BR10</f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9">
        <f t="shared" si="1"/>
        <v>0</v>
      </c>
      <c r="AA8" s="1" t="s">
        <v>26</v>
      </c>
      <c r="AB8" s="1" t="s">
        <v>18</v>
      </c>
      <c r="AC8" s="1" t="s">
        <v>19</v>
      </c>
      <c r="AD8" s="1" t="s">
        <v>20</v>
      </c>
      <c r="AE8" s="1" t="s">
        <v>21</v>
      </c>
      <c r="AF8" s="1" t="s">
        <v>22</v>
      </c>
      <c r="AG8" s="1" t="s">
        <v>23</v>
      </c>
      <c r="AH8" s="1" t="s">
        <v>27</v>
      </c>
      <c r="AI8" s="1" t="s">
        <v>28</v>
      </c>
      <c r="AJ8" s="24" t="s">
        <v>27</v>
      </c>
      <c r="AK8" s="1" t="s">
        <v>28</v>
      </c>
      <c r="AL8" s="24" t="s">
        <v>27</v>
      </c>
      <c r="AM8" s="1" t="s">
        <v>28</v>
      </c>
      <c r="AN8" s="24" t="s">
        <v>27</v>
      </c>
      <c r="AO8" s="24" t="s">
        <v>23</v>
      </c>
      <c r="AP8" s="1" t="s">
        <v>28</v>
      </c>
      <c r="AQ8" s="1" t="s">
        <v>27</v>
      </c>
      <c r="AR8" s="24" t="s">
        <v>23</v>
      </c>
      <c r="AS8" s="1" t="s">
        <v>28</v>
      </c>
      <c r="AT8" s="1" t="s">
        <v>27</v>
      </c>
      <c r="AU8" s="24" t="s">
        <v>23</v>
      </c>
      <c r="AV8" s="1" t="s">
        <v>28</v>
      </c>
      <c r="AW8" s="1" t="s">
        <v>27</v>
      </c>
      <c r="AX8" s="24" t="s">
        <v>23</v>
      </c>
      <c r="AY8" s="24" t="s">
        <v>21</v>
      </c>
      <c r="AZ8" s="1" t="s">
        <v>28</v>
      </c>
      <c r="BA8" s="1" t="s">
        <v>27</v>
      </c>
      <c r="BB8" s="24" t="s">
        <v>23</v>
      </c>
      <c r="BC8" s="24" t="s">
        <v>21</v>
      </c>
      <c r="BD8" s="1" t="s">
        <v>28</v>
      </c>
      <c r="BE8" s="1" t="s">
        <v>27</v>
      </c>
      <c r="BF8" s="24" t="s">
        <v>23</v>
      </c>
      <c r="BG8" s="24" t="s">
        <v>21</v>
      </c>
      <c r="BH8" s="1" t="s">
        <v>28</v>
      </c>
      <c r="BI8" s="24" t="s">
        <v>27</v>
      </c>
      <c r="BJ8" s="24" t="s">
        <v>23</v>
      </c>
      <c r="BK8" s="24" t="s">
        <v>21</v>
      </c>
      <c r="BP8" s="24" t="s">
        <v>17</v>
      </c>
      <c r="BQ8" s="24" t="s">
        <v>18</v>
      </c>
      <c r="BR8" s="24" t="s">
        <v>19</v>
      </c>
      <c r="BS8" s="24" t="s">
        <v>20</v>
      </c>
      <c r="BT8" s="24" t="s">
        <v>21</v>
      </c>
      <c r="BU8" s="24" t="s">
        <v>22</v>
      </c>
      <c r="BV8" s="24" t="s">
        <v>23</v>
      </c>
      <c r="BW8" s="24" t="s">
        <v>27</v>
      </c>
    </row>
    <row r="9" spans="2:75" ht="13.5" thickBot="1">
      <c r="B9" s="20">
        <v>38512</v>
      </c>
      <c r="C9" s="21">
        <v>0.875</v>
      </c>
      <c r="D9" s="39">
        <f>D8+1</f>
        <v>2</v>
      </c>
      <c r="E9" s="24" t="s">
        <v>51</v>
      </c>
      <c r="F9" s="42"/>
      <c r="G9" s="42"/>
      <c r="H9" s="1" t="s">
        <v>45</v>
      </c>
      <c r="I9" s="1" t="s">
        <v>101</v>
      </c>
      <c r="J9" s="22" t="s">
        <v>77</v>
      </c>
      <c r="K9" s="23" t="s">
        <v>22</v>
      </c>
      <c r="L9" s="1">
        <f t="shared" si="2"/>
      </c>
      <c r="M9" s="1">
        <f t="shared" si="3"/>
      </c>
      <c r="O9" s="43"/>
      <c r="P9" s="17" t="str">
        <f t="shared" si="0"/>
        <v>Poland</v>
      </c>
      <c r="Q9" s="18">
        <f t="shared" si="0"/>
        <v>0</v>
      </c>
      <c r="R9" s="18">
        <f t="shared" si="0"/>
        <v>0</v>
      </c>
      <c r="S9" s="18">
        <f>BS11</f>
        <v>0</v>
      </c>
      <c r="T9" s="18">
        <f>BR11</f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9">
        <f t="shared" si="1"/>
        <v>0</v>
      </c>
      <c r="Z9" s="1" t="s">
        <v>30</v>
      </c>
      <c r="AA9" s="1">
        <f>COUNT(Germany_Played)</f>
        <v>1</v>
      </c>
      <c r="AB9" s="1">
        <f>COUNTIF(Groupstage_Winners,"Germany")</f>
        <v>0</v>
      </c>
      <c r="AC9" s="1">
        <f>COUNTIF(Groupstage_Losers,"Germany")</f>
        <v>1</v>
      </c>
      <c r="AD9" s="1">
        <f>AA9-(AB9+AC9)</f>
        <v>0</v>
      </c>
      <c r="AE9" s="1">
        <f>SUM(Germany_Played)</f>
        <v>1</v>
      </c>
      <c r="AF9" s="1">
        <f>SUM(Germany_Against)</f>
        <v>2</v>
      </c>
      <c r="AG9" s="1">
        <f>AE9-AF9</f>
        <v>-1</v>
      </c>
      <c r="AH9" s="1">
        <f>AB9*Winpoints+AD9*Drawpoints</f>
        <v>0</v>
      </c>
      <c r="AI9" s="1" t="str">
        <f>IF($AH9&gt;=$AH10,$Z9,$Z10)</f>
        <v>Costa Rica</v>
      </c>
      <c r="AJ9" s="1">
        <f>VLOOKUP($AI9,$Z9:$AH12,9,FALSE)</f>
        <v>3</v>
      </c>
      <c r="AK9" s="1" t="str">
        <f>IF($AJ9&gt;=$AJ11,$AI9,$AI11)</f>
        <v>Costa Rica</v>
      </c>
      <c r="AL9" s="1">
        <f>VLOOKUP($AK9,$Z9:$AH12,9,FALSE)</f>
        <v>3</v>
      </c>
      <c r="AM9" s="1" t="str">
        <f>IF($AL9&gt;=$AL12,$AK9,$AK12)</f>
        <v>Costa Rica</v>
      </c>
      <c r="AN9" s="1">
        <f>VLOOKUP($AM9,$Z9:$AH12,9,FALSE)</f>
        <v>3</v>
      </c>
      <c r="AO9" s="1">
        <f>VLOOKUP($AM9,$Z9:$AH12,8,FALSE)</f>
        <v>1</v>
      </c>
      <c r="AP9" s="1" t="str">
        <f>IF(AND($AN9=$AN10,$AO10&gt;$AO9),$AM10,$AM9)</f>
        <v>Costa Rica</v>
      </c>
      <c r="AQ9" s="1">
        <f>VLOOKUP($AP9,$Z9:$AH12,9,FALSE)</f>
        <v>3</v>
      </c>
      <c r="AR9" s="1">
        <f>VLOOKUP($AP9,$Z9:$AH12,8,FALSE)</f>
        <v>1</v>
      </c>
      <c r="AS9" s="1" t="str">
        <f>IF(AND($AQ9=$AQ11,$AR11&gt;$AR9),$AP11,$AP9)</f>
        <v>Costa Rica</v>
      </c>
      <c r="AT9" s="1">
        <f>VLOOKUP($AS9,$Z9:$AH12,9,FALSE)</f>
        <v>3</v>
      </c>
      <c r="AU9" s="1">
        <f>VLOOKUP($AS9,$Z9:$AH12,8,FALSE)</f>
        <v>1</v>
      </c>
      <c r="AV9" s="1" t="str">
        <f>IF(AND($AT9=$AT12,$AU12&gt;$AU9),$AS12,$AS9)</f>
        <v>Costa Rica</v>
      </c>
      <c r="AW9" s="1">
        <f>VLOOKUP($AV9,$Z9:$AH12,9,FALSE)</f>
        <v>3</v>
      </c>
      <c r="AX9" s="1">
        <f>VLOOKUP($AV9,$Z9:$AH12,8,FALSE)</f>
        <v>1</v>
      </c>
      <c r="AY9" s="1">
        <f>VLOOKUP($AV9,$Z9:$AH12,6,FALSE)</f>
        <v>2</v>
      </c>
      <c r="AZ9" s="1" t="str">
        <f>IF(AND($AW9=$AW10,$AX9=$AX10,$AY10&gt;$AY9),$AV10,$AV9)</f>
        <v>Costa Rica</v>
      </c>
      <c r="BA9" s="1">
        <f>VLOOKUP($AZ9,$Z9:$AH12,9,FALSE)</f>
        <v>3</v>
      </c>
      <c r="BB9" s="1">
        <f>VLOOKUP($AZ9,$Z9:$AH12,8,FALSE)</f>
        <v>1</v>
      </c>
      <c r="BC9" s="1">
        <f>VLOOKUP($AZ9,$Z9:$AH12,6,FALSE)</f>
        <v>2</v>
      </c>
      <c r="BD9" s="1" t="str">
        <f>IF(AND($BA9=$BA11,$BB9=$BB11,$BC11&gt;$BC9),$AZ11,$AZ9)</f>
        <v>Costa Rica</v>
      </c>
      <c r="BE9" s="1">
        <f>VLOOKUP($BD9,$Z9:$AH12,9,FALSE)</f>
        <v>3</v>
      </c>
      <c r="BF9" s="1">
        <f>VLOOKUP($BD9,$Z9:$AH12,8,FALSE)</f>
        <v>1</v>
      </c>
      <c r="BG9" s="1">
        <f>VLOOKUP($BD9,$Z9:$AH12,6,FALSE)</f>
        <v>2</v>
      </c>
      <c r="BH9" s="1" t="str">
        <f>IF(AND($BE9=$BE12,$BF9=$BF12,$BG12&gt;$BG9),$BD12,$BD9)</f>
        <v>Costa Rica</v>
      </c>
      <c r="BI9" s="1">
        <f>VLOOKUP($BH9,$Z9:$AH12,9,FALSE)</f>
        <v>3</v>
      </c>
      <c r="BJ9" s="1">
        <f>VLOOKUP($BH9,$Z9:$AH12,8,FALSE)</f>
        <v>1</v>
      </c>
      <c r="BK9" s="1">
        <f>VLOOKUP($BH9,$Z9:$AH12,6,FALSE)</f>
        <v>2</v>
      </c>
      <c r="BO9" s="1" t="str">
        <f>BH9</f>
        <v>Costa Rica</v>
      </c>
      <c r="BP9" s="1">
        <f>VLOOKUP($BO9,$Z9:$AH12,2,FALSE)</f>
        <v>1</v>
      </c>
      <c r="BQ9" s="1">
        <f>VLOOKUP($BO9,$Z9:$AH12,3,FALSE)</f>
        <v>1</v>
      </c>
      <c r="BR9" s="1">
        <f>VLOOKUP($BO9,$Z9:$AH12,4,FALSE)</f>
        <v>0</v>
      </c>
      <c r="BS9" s="1">
        <f>VLOOKUP($BO9,$Z9:$AH12,5,FALSE)</f>
        <v>0</v>
      </c>
      <c r="BT9" s="1">
        <f>VLOOKUP($BO9,$Z9:$AH12,6,FALSE)</f>
        <v>2</v>
      </c>
      <c r="BU9" s="1">
        <f>VLOOKUP($BO9,$Z9:$AH12,7,FALSE)</f>
        <v>1</v>
      </c>
      <c r="BV9" s="1">
        <f>VLOOKUP($BO9,$Z9:$AH12,8,FALSE)</f>
        <v>1</v>
      </c>
      <c r="BW9" s="1">
        <f>VLOOKUP($BO9,$Z9:$AH12,9,FALSE)</f>
        <v>3</v>
      </c>
    </row>
    <row r="10" spans="2:75" ht="13.5" thickBot="1">
      <c r="B10" s="20">
        <v>38513</v>
      </c>
      <c r="C10" s="21">
        <v>0.625</v>
      </c>
      <c r="D10" s="39">
        <f aca="true" t="shared" si="4" ref="D10:D55">D9+1</f>
        <v>3</v>
      </c>
      <c r="E10" s="24" t="s">
        <v>32</v>
      </c>
      <c r="F10" s="42"/>
      <c r="G10" s="42"/>
      <c r="H10" s="1" t="s">
        <v>35</v>
      </c>
      <c r="I10" s="1" t="s">
        <v>95</v>
      </c>
      <c r="J10" s="22" t="s">
        <v>78</v>
      </c>
      <c r="K10" s="23" t="s">
        <v>36</v>
      </c>
      <c r="L10" s="1">
        <f t="shared" si="2"/>
      </c>
      <c r="M10" s="1">
        <f t="shared" si="3"/>
      </c>
      <c r="O10" s="43"/>
      <c r="P10" s="25" t="str">
        <f t="shared" si="0"/>
        <v>Germany</v>
      </c>
      <c r="Q10" s="26">
        <f t="shared" si="0"/>
        <v>1</v>
      </c>
      <c r="R10" s="26">
        <f t="shared" si="0"/>
        <v>0</v>
      </c>
      <c r="S10" s="26">
        <f>BS12</f>
        <v>0</v>
      </c>
      <c r="T10" s="26">
        <f>BR12</f>
        <v>1</v>
      </c>
      <c r="U10" s="26">
        <f t="shared" si="1"/>
        <v>1</v>
      </c>
      <c r="V10" s="26">
        <f t="shared" si="1"/>
        <v>2</v>
      </c>
      <c r="W10" s="26">
        <f t="shared" si="1"/>
        <v>-1</v>
      </c>
      <c r="X10" s="27">
        <f t="shared" si="1"/>
        <v>0</v>
      </c>
      <c r="Z10" s="1" t="s">
        <v>46</v>
      </c>
      <c r="AA10" s="1">
        <f>COUNT(Costa_Played)</f>
        <v>1</v>
      </c>
      <c r="AB10" s="1">
        <f>COUNTIF(Groupstage_Winners,"Costa Rica")</f>
        <v>1</v>
      </c>
      <c r="AC10" s="1">
        <f>COUNTIF(Groupstage_Losers,"Costa Rica")</f>
        <v>0</v>
      </c>
      <c r="AD10" s="1">
        <f>AA10-(AB10+AC10)</f>
        <v>0</v>
      </c>
      <c r="AE10" s="1">
        <f>SUM(Costa_Played)</f>
        <v>2</v>
      </c>
      <c r="AF10" s="1">
        <f>SUM(Costa_Against)</f>
        <v>1</v>
      </c>
      <c r="AG10" s="1">
        <f>AE10-AF10</f>
        <v>1</v>
      </c>
      <c r="AH10" s="1">
        <f>AB10*Winpoints+AD10*Drawpoints</f>
        <v>3</v>
      </c>
      <c r="AI10" s="1" t="str">
        <f>IF($AH10&lt;=$AH9,$Z10,$Z9)</f>
        <v>Germany</v>
      </c>
      <c r="AJ10" s="1">
        <f>VLOOKUP($AI10,$Z9:$AH12,9,FALSE)</f>
        <v>0</v>
      </c>
      <c r="AK10" s="1" t="str">
        <f>IF(AJ10&gt;=AJ12,AI10,AI12)</f>
        <v>Germany</v>
      </c>
      <c r="AL10" s="1">
        <f>VLOOKUP($AK10,$Z9:$AH12,9,FALSE)</f>
        <v>0</v>
      </c>
      <c r="AM10" s="1" t="str">
        <f>IF($AL10&gt;=$AL11,$AK10,$AK11)</f>
        <v>Germany</v>
      </c>
      <c r="AN10" s="1">
        <f>VLOOKUP($AM10,$Z9:$AH12,9,FALSE)</f>
        <v>0</v>
      </c>
      <c r="AO10" s="1">
        <f>VLOOKUP($AM10,$Z9:$AH12,8,FALSE)</f>
        <v>-1</v>
      </c>
      <c r="AP10" s="1" t="str">
        <f>IF(AND($AN9=$AN10,$AO10&gt;$AO9),$AM9,$AM10)</f>
        <v>Germany</v>
      </c>
      <c r="AQ10" s="1">
        <f>VLOOKUP($AP10,$Z9:$AH12,9,FALSE)</f>
        <v>0</v>
      </c>
      <c r="AR10" s="1">
        <f>VLOOKUP($AP10,$Z9:$AH12,8,FALSE)</f>
        <v>-1</v>
      </c>
      <c r="AS10" s="1" t="str">
        <f>IF(AND($AQ10=$AQ12,$AR12&gt;$AR10),$AP12,$AP10)</f>
        <v>Ecuador</v>
      </c>
      <c r="AT10" s="1">
        <f>VLOOKUP($AS10,$Z9:$AH12,9,FALSE)</f>
        <v>0</v>
      </c>
      <c r="AU10" s="1">
        <f>VLOOKUP($AS10,$Z9:$AH12,8,FALSE)</f>
        <v>0</v>
      </c>
      <c r="AV10" s="1" t="str">
        <f>IF(AND($AT10=$AT11,$AU11&gt;$AU10),$AS11,$AS10)</f>
        <v>Ecuador</v>
      </c>
      <c r="AW10" s="1">
        <f>VLOOKUP($AV10,$Z9:$AH12,9,FALSE)</f>
        <v>0</v>
      </c>
      <c r="AX10" s="1">
        <f>VLOOKUP($AV10,$Z9:$AH12,8,FALSE)</f>
        <v>0</v>
      </c>
      <c r="AY10" s="1">
        <f>VLOOKUP($AV10,$Z9:$AH12,6,FALSE)</f>
        <v>0</v>
      </c>
      <c r="AZ10" s="1" t="str">
        <f>IF(AND($AW9=$AW10,$AX9=$AX10,$AY10&gt;$AY9),$AV9,$AV10)</f>
        <v>Ecuador</v>
      </c>
      <c r="BA10" s="1">
        <f>VLOOKUP($AZ10,$Z9:$AH12,9,FALSE)</f>
        <v>0</v>
      </c>
      <c r="BB10" s="1">
        <f>VLOOKUP($AZ10,$Z9:$AH12,8,FALSE)</f>
        <v>0</v>
      </c>
      <c r="BC10" s="1">
        <f>VLOOKUP($AZ10,$Z9:$AH12,6,FALSE)</f>
        <v>0</v>
      </c>
      <c r="BD10" s="1" t="str">
        <f>IF(AND($BA10=$BA12,$BB10=$BB12,$BC12&gt;$BC10),$AZ12,$AZ10)</f>
        <v>Ecuador</v>
      </c>
      <c r="BE10" s="1">
        <f>VLOOKUP($BD10,$Z9:$AH12,9,FALSE)</f>
        <v>0</v>
      </c>
      <c r="BF10" s="1">
        <f>VLOOKUP($BD10,$Z9:$AH12,8,FALSE)</f>
        <v>0</v>
      </c>
      <c r="BG10" s="1">
        <f>VLOOKUP($BD10,$Z9:$AH12,6,FALSE)</f>
        <v>0</v>
      </c>
      <c r="BH10" s="1" t="str">
        <f>IF(AND($BE10=$BE11,$BF10=$BF11,$BG11&gt;$BG10),$BD11,$BD10)</f>
        <v>Ecuador</v>
      </c>
      <c r="BI10" s="1">
        <f>VLOOKUP($BH10,$Z9:$AH12,9,FALSE)</f>
        <v>0</v>
      </c>
      <c r="BJ10" s="1">
        <f>VLOOKUP($BH10,$Z9:$AH12,8,FALSE)</f>
        <v>0</v>
      </c>
      <c r="BK10" s="1">
        <f>VLOOKUP($BH10,$Z9:$AH12,6,FALSE)</f>
        <v>0</v>
      </c>
      <c r="BO10" s="1" t="str">
        <f>BH10</f>
        <v>Ecuador</v>
      </c>
      <c r="BP10" s="1">
        <f>VLOOKUP($BO10,$Z9:$AH12,2,FALSE)</f>
        <v>0</v>
      </c>
      <c r="BQ10" s="1">
        <f>VLOOKUP($BO10,$Z9:$AH12,3,FALSE)</f>
        <v>0</v>
      </c>
      <c r="BR10" s="1">
        <f>VLOOKUP($BO10,$Z9:$AH12,4,FALSE)</f>
        <v>0</v>
      </c>
      <c r="BS10" s="1">
        <f>VLOOKUP($BO10,$Z9:$AH12,5,FALSE)</f>
        <v>0</v>
      </c>
      <c r="BT10" s="1">
        <f>VLOOKUP($BO10,$Z9:$AH12,6,FALSE)</f>
        <v>0</v>
      </c>
      <c r="BU10" s="1">
        <f>VLOOKUP($BO10,$Z9:$AH12,7,FALSE)</f>
        <v>0</v>
      </c>
      <c r="BV10" s="1">
        <f>VLOOKUP($BO10,$Z9:$AH12,8,FALSE)</f>
        <v>0</v>
      </c>
      <c r="BW10" s="1">
        <f>VLOOKUP($BO10,$Z9:$AH12,9,FALSE)</f>
        <v>0</v>
      </c>
    </row>
    <row r="11" spans="2:75" ht="13.5" thickBot="1">
      <c r="B11" s="20">
        <v>38513</v>
      </c>
      <c r="C11" s="21">
        <v>0.75</v>
      </c>
      <c r="D11" s="39">
        <f t="shared" si="4"/>
        <v>4</v>
      </c>
      <c r="E11" s="24" t="s">
        <v>87</v>
      </c>
      <c r="F11" s="42"/>
      <c r="G11" s="42"/>
      <c r="H11" s="1" t="s">
        <v>33</v>
      </c>
      <c r="I11" s="1" t="s">
        <v>94</v>
      </c>
      <c r="J11" s="22" t="s">
        <v>79</v>
      </c>
      <c r="K11" s="23" t="s">
        <v>36</v>
      </c>
      <c r="L11" s="1">
        <f t="shared" si="2"/>
      </c>
      <c r="M11" s="1">
        <f t="shared" si="3"/>
      </c>
      <c r="O11" s="1" t="s">
        <v>57</v>
      </c>
      <c r="Z11" s="1" t="s">
        <v>51</v>
      </c>
      <c r="AA11" s="1">
        <f>COUNT(Poland_Played)</f>
        <v>0</v>
      </c>
      <c r="AB11" s="1">
        <f>COUNTIF(Groupstage_Winners,"Poland")</f>
        <v>0</v>
      </c>
      <c r="AC11" s="1">
        <f>COUNTIF(Groupstage_Losers,"Poland")</f>
        <v>0</v>
      </c>
      <c r="AD11" s="1">
        <f>AA11-(AB11+AC11)</f>
        <v>0</v>
      </c>
      <c r="AE11" s="1">
        <f>SUM(Poland_Played)</f>
        <v>0</v>
      </c>
      <c r="AF11" s="1">
        <f>SUM(Poland_Against)</f>
        <v>0</v>
      </c>
      <c r="AG11" s="1">
        <f>AE11-AF11</f>
        <v>0</v>
      </c>
      <c r="AH11" s="1">
        <f>AB11*Winpoints+AD11*Drawpoints</f>
        <v>0</v>
      </c>
      <c r="AI11" s="1" t="str">
        <f>IF($AH11&gt;=$AH12,$Z11,$Z12)</f>
        <v>Poland</v>
      </c>
      <c r="AJ11" s="1">
        <f>VLOOKUP($AI11,$Z9:$AH12,9,FALSE)</f>
        <v>0</v>
      </c>
      <c r="AK11" s="1" t="str">
        <f>IF($AJ11&lt;=$AJ9,$AI11,$AI9)</f>
        <v>Poland</v>
      </c>
      <c r="AL11" s="1">
        <f>VLOOKUP($AK11,$Z9:$AH12,9,FALSE)</f>
        <v>0</v>
      </c>
      <c r="AM11" s="1" t="str">
        <f>IF($AL11&lt;=$AL10,$AK11,$AK10)</f>
        <v>Poland</v>
      </c>
      <c r="AN11" s="1">
        <f>VLOOKUP($AM11,$Z9:$AH12,9,FALSE)</f>
        <v>0</v>
      </c>
      <c r="AO11" s="1">
        <f>VLOOKUP($AM11,$Z9:$AH12,8,FALSE)</f>
        <v>0</v>
      </c>
      <c r="AP11" s="1" t="str">
        <f>IF(AND($AN11=$AN12,$AO12&gt;$AO11),$AM12,$AM11)</f>
        <v>Poland</v>
      </c>
      <c r="AQ11" s="1">
        <f>VLOOKUP($AP11,$Z9:$AH12,9,FALSE)</f>
        <v>0</v>
      </c>
      <c r="AR11" s="1">
        <f>VLOOKUP($AP11,$Z9:$AH12,8,FALSE)</f>
        <v>0</v>
      </c>
      <c r="AS11" s="1" t="str">
        <f>IF(AND($AQ9=$AQ11,$AR11&gt;$AR9),$AP9,$AP11)</f>
        <v>Poland</v>
      </c>
      <c r="AT11" s="1">
        <f>VLOOKUP($AS11,$Z9:$AH12,9,FALSE)</f>
        <v>0</v>
      </c>
      <c r="AU11" s="1">
        <f>VLOOKUP($AS11,$Z9:$AH12,8,FALSE)</f>
        <v>0</v>
      </c>
      <c r="AV11" s="1" t="str">
        <f>IF(AND($AT10=$AT11,$AU11&gt;$AU10),$AS10,$AS11)</f>
        <v>Poland</v>
      </c>
      <c r="AW11" s="1">
        <f>VLOOKUP($AV11,$Z9:$AH12,9,FALSE)</f>
        <v>0</v>
      </c>
      <c r="AX11" s="1">
        <f>VLOOKUP($AV11,$Z9:$AH12,8,FALSE)</f>
        <v>0</v>
      </c>
      <c r="AY11" s="1">
        <f>VLOOKUP($AV11,$Z9:$AH12,6,FALSE)</f>
        <v>0</v>
      </c>
      <c r="AZ11" s="1" t="str">
        <f>IF(AND($AW11=$AW12,$AX11=$AX12,$AY12&gt;$AY11),$AV12,$AV11)</f>
        <v>Poland</v>
      </c>
      <c r="BA11" s="1">
        <f>VLOOKUP($AZ11,$Z9:$AH12,9,FALSE)</f>
        <v>0</v>
      </c>
      <c r="BB11" s="1">
        <f>VLOOKUP($AZ11,$Z9:$AH12,8,FALSE)</f>
        <v>0</v>
      </c>
      <c r="BC11" s="1">
        <f>VLOOKUP($AZ11,$Z9:$AH12,6,FALSE)</f>
        <v>0</v>
      </c>
      <c r="BD11" s="1" t="str">
        <f>IF(AND($BA9=$BA11,$BB9=$BB11,$BC11&gt;$BC9),$AZ9,$AZ11)</f>
        <v>Poland</v>
      </c>
      <c r="BE11" s="1">
        <f>VLOOKUP($BD11,$Z9:$AH12,9,FALSE)</f>
        <v>0</v>
      </c>
      <c r="BF11" s="1">
        <f>VLOOKUP($BD11,$Z9:$AH12,8,FALSE)</f>
        <v>0</v>
      </c>
      <c r="BG11" s="1">
        <f>VLOOKUP($BD11,$Z9:$AH12,6,FALSE)</f>
        <v>0</v>
      </c>
      <c r="BH11" s="1" t="str">
        <f>IF(AND($BE10=$BE11,$BF10=$BF11,$BG11&gt;$BG10),$BD10,$BD11)</f>
        <v>Poland</v>
      </c>
      <c r="BI11" s="1">
        <f>VLOOKUP($BH11,$Z9:$AH12,9,FALSE)</f>
        <v>0</v>
      </c>
      <c r="BJ11" s="1">
        <f>VLOOKUP($BH11,$Z9:$AH12,8,FALSE)</f>
        <v>0</v>
      </c>
      <c r="BK11" s="1">
        <f>VLOOKUP($BH11,$Z9:$AH12,6,FALSE)</f>
        <v>0</v>
      </c>
      <c r="BO11" s="1" t="str">
        <f>BH11</f>
        <v>Poland</v>
      </c>
      <c r="BP11" s="1">
        <f>VLOOKUP($BO11,$Z9:$AH12,2,FALSE)</f>
        <v>0</v>
      </c>
      <c r="BQ11" s="1">
        <f>VLOOKUP($BO11,$Z9:$AH12,3,FALSE)</f>
        <v>0</v>
      </c>
      <c r="BR11" s="1">
        <f>VLOOKUP($BO11,$Z9:$AH12,4,FALSE)</f>
        <v>0</v>
      </c>
      <c r="BS11" s="1">
        <f>VLOOKUP($BO11,$Z9:$AH12,5,FALSE)</f>
        <v>0</v>
      </c>
      <c r="BT11" s="1">
        <f>VLOOKUP($BO11,$Z9:$AH12,6,FALSE)</f>
        <v>0</v>
      </c>
      <c r="BU11" s="1">
        <f>VLOOKUP($BO11,$Z9:$AH12,7,FALSE)</f>
        <v>0</v>
      </c>
      <c r="BV11" s="1">
        <f>VLOOKUP($BO11,$Z9:$AH12,8,FALSE)</f>
        <v>0</v>
      </c>
      <c r="BW11" s="1">
        <f>VLOOKUP($BO11,$Z9:$AH12,9,FALSE)</f>
        <v>0</v>
      </c>
    </row>
    <row r="12" spans="2:75" ht="15.75" thickBot="1">
      <c r="B12" s="20">
        <v>38513</v>
      </c>
      <c r="C12" s="21">
        <v>0.875</v>
      </c>
      <c r="D12" s="39">
        <f t="shared" si="4"/>
        <v>5</v>
      </c>
      <c r="E12" s="24" t="s">
        <v>37</v>
      </c>
      <c r="F12" s="42"/>
      <c r="G12" s="42"/>
      <c r="H12" s="1" t="s">
        <v>67</v>
      </c>
      <c r="I12" s="1" t="s">
        <v>102</v>
      </c>
      <c r="J12" s="22" t="s">
        <v>80</v>
      </c>
      <c r="K12" s="23" t="s">
        <v>43</v>
      </c>
      <c r="L12" s="1">
        <f t="shared" si="2"/>
      </c>
      <c r="M12" s="1">
        <f t="shared" si="3"/>
      </c>
      <c r="O12" s="44"/>
      <c r="P12" s="4" t="s">
        <v>34</v>
      </c>
      <c r="Q12" s="5"/>
      <c r="R12" s="5"/>
      <c r="S12" s="5"/>
      <c r="T12" s="5"/>
      <c r="U12" s="5"/>
      <c r="V12" s="5"/>
      <c r="W12" s="5"/>
      <c r="X12" s="6"/>
      <c r="Z12" s="1" t="s">
        <v>45</v>
      </c>
      <c r="AA12" s="1">
        <f>COUNT(Ecuador_Played)</f>
        <v>0</v>
      </c>
      <c r="AB12" s="1">
        <f>COUNTIF(Groupstage_Winners,"Ecuador")</f>
        <v>0</v>
      </c>
      <c r="AC12" s="1">
        <f>COUNTIF(Groupstage_Losers,"Ecuador")</f>
        <v>0</v>
      </c>
      <c r="AD12" s="1">
        <f>AA12-(AB12+AC12)</f>
        <v>0</v>
      </c>
      <c r="AE12" s="1">
        <f>SUM(Ecuador_Played)</f>
        <v>0</v>
      </c>
      <c r="AF12" s="1">
        <f>SUM(Ecuador_Against)</f>
        <v>0</v>
      </c>
      <c r="AG12" s="1">
        <f>AE12-AF12</f>
        <v>0</v>
      </c>
      <c r="AH12" s="1">
        <f>AB12*Winpoints+AD12*Drawpoints</f>
        <v>0</v>
      </c>
      <c r="AI12" s="1" t="str">
        <f>IF($AH12&lt;=$AH11,$Z12,$Z11)</f>
        <v>Ecuador</v>
      </c>
      <c r="AJ12" s="1">
        <f>VLOOKUP($AI12,$Z9:$AH12,9,FALSE)</f>
        <v>0</v>
      </c>
      <c r="AK12" s="1" t="str">
        <f>IF(AJ12&lt;=AJ10,AI12,AI10)</f>
        <v>Ecuador</v>
      </c>
      <c r="AL12" s="1">
        <f>VLOOKUP($AK12,$Z9:$AH12,9,FALSE)</f>
        <v>0</v>
      </c>
      <c r="AM12" s="1" t="str">
        <f>IF($AL12&lt;=$AL9,$AK12,$AK9)</f>
        <v>Ecuador</v>
      </c>
      <c r="AN12" s="1">
        <f>VLOOKUP($AM12,$Z9:$AH12,9,FALSE)</f>
        <v>0</v>
      </c>
      <c r="AO12" s="1">
        <f>VLOOKUP($AM12,$Z9:$AH12,8,FALSE)</f>
        <v>0</v>
      </c>
      <c r="AP12" s="1" t="str">
        <f>IF(AND($AN11=$AN12,$AO12&gt;$AO11),$AM11,$AM12)</f>
        <v>Ecuador</v>
      </c>
      <c r="AQ12" s="1">
        <f>VLOOKUP($AP12,$Z9:$AH12,9,FALSE)</f>
        <v>0</v>
      </c>
      <c r="AR12" s="1">
        <f>VLOOKUP($AP12,$Z9:$AH12,8,FALSE)</f>
        <v>0</v>
      </c>
      <c r="AS12" s="1" t="str">
        <f>IF(AND($AQ10=$AQ12,$AR12&gt;$AR10),$AP10,$AP12)</f>
        <v>Germany</v>
      </c>
      <c r="AT12" s="1">
        <f>VLOOKUP($AS12,$Z9:$AH12,9,FALSE)</f>
        <v>0</v>
      </c>
      <c r="AU12" s="1">
        <f>VLOOKUP($AS12,$Z9:$AH12,8,FALSE)</f>
        <v>-1</v>
      </c>
      <c r="AV12" s="1" t="str">
        <f>IF(AND($AT9=$AT12,$AU12&gt;$AU9),$AS9,$AS12)</f>
        <v>Germany</v>
      </c>
      <c r="AW12" s="1">
        <f>VLOOKUP($AV12,$Z9:$AH12,9,FALSE)</f>
        <v>0</v>
      </c>
      <c r="AX12" s="1">
        <f>VLOOKUP($AV12,$Z9:$AH12,8,FALSE)</f>
        <v>-1</v>
      </c>
      <c r="AY12" s="1">
        <f>VLOOKUP($AV12,$Z9:$AH12,6,FALSE)</f>
        <v>1</v>
      </c>
      <c r="AZ12" s="1" t="str">
        <f>IF(AND($AW11=$AW12,$AX11=$AX12,$AY12&gt;$AY11),$AV11,$AV12)</f>
        <v>Germany</v>
      </c>
      <c r="BA12" s="1">
        <f>VLOOKUP($AZ12,$Z9:$AH12,9,FALSE)</f>
        <v>0</v>
      </c>
      <c r="BB12" s="1">
        <f>VLOOKUP($AZ12,$Z9:$AH12,8,FALSE)</f>
        <v>-1</v>
      </c>
      <c r="BC12" s="1">
        <f>VLOOKUP($AZ12,$Z9:$AH12,6,FALSE)</f>
        <v>1</v>
      </c>
      <c r="BD12" s="1" t="str">
        <f>IF(AND($BA10=$BA12,$BB10=$BB12,$BC12&gt;$BC10),$AZ10,$AZ12)</f>
        <v>Germany</v>
      </c>
      <c r="BE12" s="1">
        <f>VLOOKUP($BD12,$Z9:$AH12,9,FALSE)</f>
        <v>0</v>
      </c>
      <c r="BF12" s="1">
        <f>VLOOKUP($BD12,$Z9:$AH12,8,FALSE)</f>
        <v>-1</v>
      </c>
      <c r="BG12" s="1">
        <f>VLOOKUP($BD12,$Z9:$AH12,6,FALSE)</f>
        <v>1</v>
      </c>
      <c r="BH12" s="1" t="str">
        <f>IF(AND($BE9=$BE12,$BF9=$BF12,$BG12&gt;$BG9),$BD9,$BD12)</f>
        <v>Germany</v>
      </c>
      <c r="BI12" s="1">
        <f>VLOOKUP($BH12,$Z9:$AH12,9,FALSE)</f>
        <v>0</v>
      </c>
      <c r="BJ12" s="1">
        <f>VLOOKUP($BH12,$Z9:$AH12,8,FALSE)</f>
        <v>-1</v>
      </c>
      <c r="BK12" s="1">
        <f>VLOOKUP($BH12,$Z9:$AH12,6,FALSE)</f>
        <v>1</v>
      </c>
      <c r="BO12" s="1" t="str">
        <f>BH12</f>
        <v>Germany</v>
      </c>
      <c r="BP12" s="1">
        <f>VLOOKUP($BO12,$Z9:$AH12,2,FALSE)</f>
        <v>1</v>
      </c>
      <c r="BQ12" s="1">
        <f>VLOOKUP($BO12,$Z9:$AH12,3,FALSE)</f>
        <v>0</v>
      </c>
      <c r="BR12" s="1">
        <f>VLOOKUP($BO12,$Z9:$AH12,4,FALSE)</f>
        <v>1</v>
      </c>
      <c r="BS12" s="1">
        <f>VLOOKUP($BO12,$Z9:$AH12,5,FALSE)</f>
        <v>0</v>
      </c>
      <c r="BT12" s="1">
        <f>VLOOKUP($BO12,$Z9:$AH12,6,FALSE)</f>
        <v>1</v>
      </c>
      <c r="BU12" s="1">
        <f>VLOOKUP($BO12,$Z9:$AH12,7,FALSE)</f>
        <v>2</v>
      </c>
      <c r="BV12" s="1">
        <f>VLOOKUP($BO12,$Z9:$AH12,8,FALSE)</f>
        <v>-1</v>
      </c>
      <c r="BW12" s="1">
        <f>VLOOKUP($BO12,$Z9:$AH12,9,FALSE)</f>
        <v>0</v>
      </c>
    </row>
    <row r="13" spans="2:24" ht="13.5" thickBot="1">
      <c r="B13" s="20">
        <v>38514</v>
      </c>
      <c r="C13" s="21">
        <v>0.625</v>
      </c>
      <c r="D13" s="39">
        <f t="shared" si="4"/>
        <v>6</v>
      </c>
      <c r="E13" s="24" t="s">
        <v>88</v>
      </c>
      <c r="F13" s="42"/>
      <c r="G13" s="42"/>
      <c r="H13" s="1" t="s">
        <v>68</v>
      </c>
      <c r="I13" s="1" t="s">
        <v>99</v>
      </c>
      <c r="J13" s="22" t="s">
        <v>81</v>
      </c>
      <c r="K13" s="23" t="s">
        <v>43</v>
      </c>
      <c r="L13" s="1">
        <f t="shared" si="2"/>
      </c>
      <c r="M13" s="1">
        <f t="shared" si="3"/>
      </c>
      <c r="O13" s="45" t="s">
        <v>106</v>
      </c>
      <c r="P13" s="41" t="s">
        <v>28</v>
      </c>
      <c r="Q13" s="11" t="s">
        <v>17</v>
      </c>
      <c r="R13" s="11" t="s">
        <v>18</v>
      </c>
      <c r="S13" s="11" t="s">
        <v>20</v>
      </c>
      <c r="T13" s="11" t="s">
        <v>19</v>
      </c>
      <c r="U13" s="11" t="s">
        <v>21</v>
      </c>
      <c r="V13" s="11" t="s">
        <v>22</v>
      </c>
      <c r="W13" s="11" t="s">
        <v>23</v>
      </c>
      <c r="X13" s="12" t="s">
        <v>24</v>
      </c>
    </row>
    <row r="14" spans="2:26" ht="13.5" thickBot="1">
      <c r="B14" s="20">
        <v>38514</v>
      </c>
      <c r="C14" s="21">
        <v>0.75</v>
      </c>
      <c r="D14" s="39">
        <f t="shared" si="4"/>
        <v>7</v>
      </c>
      <c r="E14" s="24" t="s">
        <v>40</v>
      </c>
      <c r="F14" s="42"/>
      <c r="G14" s="42"/>
      <c r="H14" s="1" t="s">
        <v>70</v>
      </c>
      <c r="I14" s="1" t="s">
        <v>97</v>
      </c>
      <c r="J14" s="22" t="s">
        <v>82</v>
      </c>
      <c r="K14" s="23" t="s">
        <v>20</v>
      </c>
      <c r="L14" s="1">
        <f t="shared" si="2"/>
      </c>
      <c r="M14" s="1">
        <f t="shared" si="3"/>
      </c>
      <c r="O14" s="43"/>
      <c r="P14" s="17" t="str">
        <f aca="true" t="shared" si="5" ref="P14:R17">BO16</f>
        <v>England</v>
      </c>
      <c r="Q14" s="18">
        <f t="shared" si="5"/>
        <v>0</v>
      </c>
      <c r="R14" s="18">
        <f t="shared" si="5"/>
        <v>0</v>
      </c>
      <c r="S14" s="18">
        <f>BS16</f>
        <v>0</v>
      </c>
      <c r="T14" s="18">
        <f>BR16</f>
        <v>0</v>
      </c>
      <c r="U14" s="18">
        <f aca="true" t="shared" si="6" ref="U14:X17">BT16</f>
        <v>0</v>
      </c>
      <c r="V14" s="18">
        <f t="shared" si="6"/>
        <v>0</v>
      </c>
      <c r="W14" s="18">
        <f t="shared" si="6"/>
        <v>0</v>
      </c>
      <c r="X14" s="19">
        <f t="shared" si="6"/>
        <v>0</v>
      </c>
      <c r="Z14" s="1" t="s">
        <v>34</v>
      </c>
    </row>
    <row r="15" spans="2:34" ht="13.5" thickBot="1">
      <c r="B15" s="20">
        <v>38514</v>
      </c>
      <c r="C15" s="21">
        <v>0.875</v>
      </c>
      <c r="D15" s="39">
        <f t="shared" si="4"/>
        <v>8</v>
      </c>
      <c r="E15" s="24" t="s">
        <v>69</v>
      </c>
      <c r="F15" s="42"/>
      <c r="G15" s="42"/>
      <c r="H15" s="1" t="s">
        <v>54</v>
      </c>
      <c r="I15" s="1" t="s">
        <v>104</v>
      </c>
      <c r="J15" s="22" t="s">
        <v>83</v>
      </c>
      <c r="K15" s="23" t="s">
        <v>20</v>
      </c>
      <c r="L15" s="1">
        <f t="shared" si="2"/>
      </c>
      <c r="M15" s="1">
        <f t="shared" si="3"/>
      </c>
      <c r="O15" s="43"/>
      <c r="P15" s="17" t="str">
        <f t="shared" si="5"/>
        <v>Paraguay</v>
      </c>
      <c r="Q15" s="18">
        <f t="shared" si="5"/>
        <v>0</v>
      </c>
      <c r="R15" s="18">
        <f t="shared" si="5"/>
        <v>0</v>
      </c>
      <c r="S15" s="18">
        <f>BS17</f>
        <v>0</v>
      </c>
      <c r="T15" s="18">
        <f>BR17</f>
        <v>0</v>
      </c>
      <c r="U15" s="18">
        <f t="shared" si="6"/>
        <v>0</v>
      </c>
      <c r="V15" s="18">
        <f t="shared" si="6"/>
        <v>0</v>
      </c>
      <c r="W15" s="18">
        <f t="shared" si="6"/>
        <v>0</v>
      </c>
      <c r="X15" s="19">
        <f t="shared" si="6"/>
        <v>0</v>
      </c>
      <c r="AA15" s="1" t="s">
        <v>26</v>
      </c>
      <c r="AB15" s="1" t="s">
        <v>18</v>
      </c>
      <c r="AC15" s="1" t="s">
        <v>19</v>
      </c>
      <c r="AD15" s="1" t="s">
        <v>20</v>
      </c>
      <c r="AE15" s="1" t="s">
        <v>21</v>
      </c>
      <c r="AF15" s="1" t="s">
        <v>22</v>
      </c>
      <c r="AG15" s="1" t="s">
        <v>23</v>
      </c>
      <c r="AH15" s="1" t="s">
        <v>27</v>
      </c>
    </row>
    <row r="16" spans="2:75" ht="13.5" thickBot="1">
      <c r="B16" s="20">
        <v>38515</v>
      </c>
      <c r="C16" s="21">
        <v>0.875</v>
      </c>
      <c r="D16" s="39">
        <f t="shared" si="4"/>
        <v>9</v>
      </c>
      <c r="E16" s="24" t="s">
        <v>44</v>
      </c>
      <c r="F16" s="42"/>
      <c r="G16" s="42"/>
      <c r="H16" s="1" t="s">
        <v>71</v>
      </c>
      <c r="I16" s="1" t="s">
        <v>103</v>
      </c>
      <c r="J16" s="22" t="s">
        <v>84</v>
      </c>
      <c r="K16" s="23" t="s">
        <v>29</v>
      </c>
      <c r="L16" s="1">
        <f t="shared" si="2"/>
      </c>
      <c r="M16" s="1">
        <f t="shared" si="3"/>
      </c>
      <c r="O16" s="43"/>
      <c r="P16" s="17" t="str">
        <f t="shared" si="5"/>
        <v>Trinidad</v>
      </c>
      <c r="Q16" s="18">
        <f t="shared" si="5"/>
        <v>0</v>
      </c>
      <c r="R16" s="18">
        <f t="shared" si="5"/>
        <v>0</v>
      </c>
      <c r="S16" s="18">
        <f>BS18</f>
        <v>0</v>
      </c>
      <c r="T16" s="18">
        <f>BR18</f>
        <v>0</v>
      </c>
      <c r="U16" s="18">
        <f t="shared" si="6"/>
        <v>0</v>
      </c>
      <c r="V16" s="18">
        <f t="shared" si="6"/>
        <v>0</v>
      </c>
      <c r="W16" s="18">
        <f t="shared" si="6"/>
        <v>0</v>
      </c>
      <c r="X16" s="19">
        <f t="shared" si="6"/>
        <v>0</v>
      </c>
      <c r="Z16" s="1" t="s">
        <v>32</v>
      </c>
      <c r="AA16" s="1">
        <f>COUNT(England_Played)</f>
        <v>0</v>
      </c>
      <c r="AB16" s="1">
        <f>COUNTIF(Groupstage_Winners,"England")</f>
        <v>0</v>
      </c>
      <c r="AC16" s="1">
        <f>COUNTIF(Groupstage_Losers,"England")</f>
        <v>0</v>
      </c>
      <c r="AD16" s="1">
        <f>AA16-(AB16+AC16)</f>
        <v>0</v>
      </c>
      <c r="AE16" s="1">
        <f>SUM(England_Played)</f>
        <v>0</v>
      </c>
      <c r="AF16" s="1">
        <f>SUM(England_Against)</f>
        <v>0</v>
      </c>
      <c r="AG16" s="1">
        <f>AE16-AF16</f>
        <v>0</v>
      </c>
      <c r="AH16" s="1">
        <f>AB16*Winpoints+AD16*Drawpoints</f>
        <v>0</v>
      </c>
      <c r="AI16" s="1" t="str">
        <f>IF($AH16&gt;=$AH17,$Z16,$Z17)</f>
        <v>England</v>
      </c>
      <c r="AJ16" s="1">
        <f>VLOOKUP($AI16,$Z16:$AH19,9,FALSE)</f>
        <v>0</v>
      </c>
      <c r="AK16" s="1" t="str">
        <f>IF($AJ16&gt;=$AJ18,$AI16,$AI18)</f>
        <v>England</v>
      </c>
      <c r="AL16" s="1">
        <f>VLOOKUP($AK16,$Z16:$AH19,9,FALSE)</f>
        <v>0</v>
      </c>
      <c r="AM16" s="1" t="str">
        <f>IF($AL16&gt;=$AL19,$AK16,$AK19)</f>
        <v>England</v>
      </c>
      <c r="AN16" s="1">
        <f>VLOOKUP($AM16,$Z16:$AH19,9,FALSE)</f>
        <v>0</v>
      </c>
      <c r="AO16" s="1">
        <f>VLOOKUP($AM16,$Z16:$AH19,8,FALSE)</f>
        <v>0</v>
      </c>
      <c r="AP16" s="1" t="str">
        <f>IF(AND($AN16=$AN17,$AO17&gt;$AO16),$AM17,$AM16)</f>
        <v>England</v>
      </c>
      <c r="AQ16" s="1">
        <f>VLOOKUP($AP16,$Z16:$AH19,9,FALSE)</f>
        <v>0</v>
      </c>
      <c r="AR16" s="1">
        <f>VLOOKUP($AP16,$Z16:$AH19,8,FALSE)</f>
        <v>0</v>
      </c>
      <c r="AS16" s="1" t="str">
        <f>IF(AND($AQ16=$AQ18,$AR18&gt;$AR16),$AP18,$AP16)</f>
        <v>England</v>
      </c>
      <c r="AT16" s="1">
        <f>VLOOKUP($AS16,$Z16:$AH19,9,FALSE)</f>
        <v>0</v>
      </c>
      <c r="AU16" s="1">
        <f>VLOOKUP($AS16,$Z16:$AH19,8,FALSE)</f>
        <v>0</v>
      </c>
      <c r="AV16" s="1" t="str">
        <f>IF(AND($AT16=$AT19,$AU19&gt;$AU16),$AS19,$AS16)</f>
        <v>England</v>
      </c>
      <c r="AW16" s="1">
        <f>VLOOKUP($AV16,$Z16:$AH19,9,FALSE)</f>
        <v>0</v>
      </c>
      <c r="AX16" s="1">
        <f>VLOOKUP($AV16,$Z16:$AH19,8,FALSE)</f>
        <v>0</v>
      </c>
      <c r="AY16" s="1">
        <f>VLOOKUP($AV16,$Z16:$AH19,6,FALSE)</f>
        <v>0</v>
      </c>
      <c r="AZ16" s="1" t="str">
        <f>IF(AND($AW16=$AW17,$AX16=$AX17,$AY17&gt;$AY16),$AV17,$AV16)</f>
        <v>England</v>
      </c>
      <c r="BA16" s="1">
        <f>VLOOKUP($AZ16,$Z16:$AH19,9,FALSE)</f>
        <v>0</v>
      </c>
      <c r="BB16" s="1">
        <f>VLOOKUP($AZ16,$Z16:$AH19,8,FALSE)</f>
        <v>0</v>
      </c>
      <c r="BC16" s="1">
        <f>VLOOKUP($AZ16,$Z16:$AH19,6,FALSE)</f>
        <v>0</v>
      </c>
      <c r="BD16" s="1" t="str">
        <f>IF(AND($BA16=$BA18,$BB16=$BB18,$BC18&gt;$BC16),$AZ18,$AZ16)</f>
        <v>England</v>
      </c>
      <c r="BE16" s="1">
        <f>VLOOKUP($BD16,$Z16:$AH19,9,FALSE)</f>
        <v>0</v>
      </c>
      <c r="BF16" s="1">
        <f>VLOOKUP($BD16,$Z16:$AH19,8,FALSE)</f>
        <v>0</v>
      </c>
      <c r="BG16" s="1">
        <f>VLOOKUP($BD16,$Z16:$AH19,6,FALSE)</f>
        <v>0</v>
      </c>
      <c r="BH16" s="1" t="str">
        <f>IF(AND($BE16=$BE19,$BF16=$BF19,$BG19&gt;$BG16),$BD19,$BD16)</f>
        <v>England</v>
      </c>
      <c r="BI16" s="1">
        <f>VLOOKUP($BH16,$Z16:$AH19,9,FALSE)</f>
        <v>0</v>
      </c>
      <c r="BJ16" s="1">
        <f>VLOOKUP($BH16,$Z16:$AH19,8,FALSE)</f>
        <v>0</v>
      </c>
      <c r="BK16" s="1">
        <f>VLOOKUP($BH16,$Z16:$AH19,6,FALSE)</f>
        <v>0</v>
      </c>
      <c r="BO16" s="1" t="str">
        <f>BH16</f>
        <v>England</v>
      </c>
      <c r="BP16" s="1">
        <f>VLOOKUP($BO16,$Z16:$AH19,2,FALSE)</f>
        <v>0</v>
      </c>
      <c r="BQ16" s="1">
        <f>VLOOKUP($BO16,$Z16:$AH19,3,FALSE)</f>
        <v>0</v>
      </c>
      <c r="BR16" s="1">
        <f>VLOOKUP($BO16,$Z16:$AH19,4,FALSE)</f>
        <v>0</v>
      </c>
      <c r="BS16" s="1">
        <f>VLOOKUP($BO16,$Z16:$AH19,5,FALSE)</f>
        <v>0</v>
      </c>
      <c r="BT16" s="1">
        <f>VLOOKUP($BO16,$Z16:$AH19,6,FALSE)</f>
        <v>0</v>
      </c>
      <c r="BU16" s="1">
        <f>VLOOKUP($BO16,$Z16:$AH19,7,FALSE)</f>
        <v>0</v>
      </c>
      <c r="BV16" s="1">
        <f>VLOOKUP($BO16,$Z16:$AH19,8,FALSE)</f>
        <v>0</v>
      </c>
      <c r="BW16" s="1">
        <f>VLOOKUP($BO16,$Z16:$AH19,9,FALSE)</f>
        <v>0</v>
      </c>
    </row>
    <row r="17" spans="2:75" ht="13.5" thickBot="1">
      <c r="B17" s="20">
        <v>38515</v>
      </c>
      <c r="C17" s="21">
        <v>0.75</v>
      </c>
      <c r="D17" s="39">
        <f t="shared" si="4"/>
        <v>10</v>
      </c>
      <c r="E17" s="24" t="s">
        <v>53</v>
      </c>
      <c r="F17" s="42"/>
      <c r="G17" s="42"/>
      <c r="H17" s="1" t="s">
        <v>89</v>
      </c>
      <c r="I17" s="1" t="s">
        <v>101</v>
      </c>
      <c r="J17" s="22" t="s">
        <v>77</v>
      </c>
      <c r="K17" s="23" t="s">
        <v>29</v>
      </c>
      <c r="L17" s="1">
        <f t="shared" si="2"/>
      </c>
      <c r="M17" s="1">
        <f t="shared" si="3"/>
      </c>
      <c r="O17" s="43"/>
      <c r="P17" s="25" t="str">
        <f t="shared" si="5"/>
        <v>Sweden</v>
      </c>
      <c r="Q17" s="26">
        <f t="shared" si="5"/>
        <v>0</v>
      </c>
      <c r="R17" s="26">
        <f t="shared" si="5"/>
        <v>0</v>
      </c>
      <c r="S17" s="26">
        <f>BS19</f>
        <v>0</v>
      </c>
      <c r="T17" s="26">
        <f>BR19</f>
        <v>0</v>
      </c>
      <c r="U17" s="26">
        <f t="shared" si="6"/>
        <v>0</v>
      </c>
      <c r="V17" s="26">
        <f t="shared" si="6"/>
        <v>0</v>
      </c>
      <c r="W17" s="26">
        <f t="shared" si="6"/>
        <v>0</v>
      </c>
      <c r="X17" s="27">
        <f t="shared" si="6"/>
        <v>0</v>
      </c>
      <c r="Z17" s="1" t="s">
        <v>35</v>
      </c>
      <c r="AA17" s="1">
        <f>COUNT(Paraguay_Played)</f>
        <v>0</v>
      </c>
      <c r="AB17" s="1">
        <f>COUNTIF(Groupstage_Winners,"Paraguay")</f>
        <v>0</v>
      </c>
      <c r="AC17" s="1">
        <f>COUNTIF(Groupstage_Losers,"Paraguay")</f>
        <v>0</v>
      </c>
      <c r="AD17" s="1">
        <f>AA17-(AB17+AC17)</f>
        <v>0</v>
      </c>
      <c r="AE17" s="1">
        <f>SUM(Paraguay_Played)</f>
        <v>0</v>
      </c>
      <c r="AF17" s="1">
        <f>SUM(Paraguay_Against)</f>
        <v>0</v>
      </c>
      <c r="AG17" s="1">
        <f>AE17-AF17</f>
        <v>0</v>
      </c>
      <c r="AH17" s="1">
        <f>AB17*Winpoints+AD17*Drawpoints</f>
        <v>0</v>
      </c>
      <c r="AI17" s="1" t="str">
        <f>IF($AH17&lt;=$AH16,$Z17,$Z16)</f>
        <v>Paraguay</v>
      </c>
      <c r="AJ17" s="1">
        <f>VLOOKUP($AI17,$Z16:$AH19,9,FALSE)</f>
        <v>0</v>
      </c>
      <c r="AK17" s="1" t="str">
        <f>IF(AJ17&gt;=AJ19,AI17,AI19)</f>
        <v>Paraguay</v>
      </c>
      <c r="AL17" s="1">
        <f>VLOOKUP($AK17,$Z16:$AH19,9,FALSE)</f>
        <v>0</v>
      </c>
      <c r="AM17" s="1" t="str">
        <f>IF($AL17&gt;=$AL18,$AK17,$AK18)</f>
        <v>Paraguay</v>
      </c>
      <c r="AN17" s="1">
        <f>VLOOKUP($AM17,$Z16:$AH19,9,FALSE)</f>
        <v>0</v>
      </c>
      <c r="AO17" s="1">
        <f>VLOOKUP($AM17,$Z16:$AH19,8,FALSE)</f>
        <v>0</v>
      </c>
      <c r="AP17" s="1" t="str">
        <f>IF(AND($AN16=$AN17,$AO17&gt;$AO16),$AM16,$AM17)</f>
        <v>Paraguay</v>
      </c>
      <c r="AQ17" s="1">
        <f>VLOOKUP($AP17,$Z16:$AH19,9,FALSE)</f>
        <v>0</v>
      </c>
      <c r="AR17" s="1">
        <f>VLOOKUP($AP17,$Z16:$AH19,8,FALSE)</f>
        <v>0</v>
      </c>
      <c r="AS17" s="1" t="str">
        <f>IF(AND($AQ17=$AQ19,$AR19&gt;$AR17),$AP19,$AP17)</f>
        <v>Paraguay</v>
      </c>
      <c r="AT17" s="1">
        <f>VLOOKUP($AS17,$Z16:$AH19,9,FALSE)</f>
        <v>0</v>
      </c>
      <c r="AU17" s="1">
        <f>VLOOKUP($AS17,$Z16:$AH19,8,FALSE)</f>
        <v>0</v>
      </c>
      <c r="AV17" s="1" t="str">
        <f>IF(AND($AT17=$AT18,$AU18&gt;$AU17),$AS18,$AS17)</f>
        <v>Paraguay</v>
      </c>
      <c r="AW17" s="1">
        <f>VLOOKUP($AV17,$Z16:$AH19,9,FALSE)</f>
        <v>0</v>
      </c>
      <c r="AX17" s="1">
        <f>VLOOKUP($AV17,$Z16:$AH19,8,FALSE)</f>
        <v>0</v>
      </c>
      <c r="AY17" s="1">
        <f>VLOOKUP($AV17,$Z16:$AH19,6,FALSE)</f>
        <v>0</v>
      </c>
      <c r="AZ17" s="1" t="str">
        <f>IF(AND($AW16=$AW17,$AX16=$AX17,$AY17&gt;$AY16),$AV16,$AV17)</f>
        <v>Paraguay</v>
      </c>
      <c r="BA17" s="1">
        <f>VLOOKUP($AZ17,$Z16:$AH19,9,FALSE)</f>
        <v>0</v>
      </c>
      <c r="BB17" s="1">
        <f>VLOOKUP($AZ17,$Z16:$AH19,8,FALSE)</f>
        <v>0</v>
      </c>
      <c r="BC17" s="1">
        <f>VLOOKUP($AZ17,$Z16:$AH19,6,FALSE)</f>
        <v>0</v>
      </c>
      <c r="BD17" s="1" t="str">
        <f>IF(AND($BA17=$BA19,$BB17=$BB19,$BC19&gt;$BC17),$AZ19,$AZ17)</f>
        <v>Paraguay</v>
      </c>
      <c r="BE17" s="1">
        <f>VLOOKUP($BD17,$Z16:$AH19,9,FALSE)</f>
        <v>0</v>
      </c>
      <c r="BF17" s="1">
        <f>VLOOKUP($BD17,$Z16:$AH19,8,FALSE)</f>
        <v>0</v>
      </c>
      <c r="BG17" s="1">
        <f>VLOOKUP($BD17,$Z16:$AH19,6,FALSE)</f>
        <v>0</v>
      </c>
      <c r="BH17" s="1" t="str">
        <f>IF(AND($BE17=$BE18,$BF17=$BF18,$BG18&gt;$BG17),$BD18,$BD17)</f>
        <v>Paraguay</v>
      </c>
      <c r="BI17" s="1">
        <f>VLOOKUP($BH17,$Z16:$AH19,9,FALSE)</f>
        <v>0</v>
      </c>
      <c r="BJ17" s="1">
        <f>VLOOKUP($BH17,$Z16:$AH19,8,FALSE)</f>
        <v>0</v>
      </c>
      <c r="BK17" s="1">
        <f>VLOOKUP($BH17,$Z16:$AH19,6,FALSE)</f>
        <v>0</v>
      </c>
      <c r="BO17" s="1" t="str">
        <f>BH17</f>
        <v>Paraguay</v>
      </c>
      <c r="BP17" s="1">
        <f>VLOOKUP($BO17,$Z16:$AH19,2,FALSE)</f>
        <v>0</v>
      </c>
      <c r="BQ17" s="1">
        <f>VLOOKUP($BO17,$Z16:$AH19,3,FALSE)</f>
        <v>0</v>
      </c>
      <c r="BR17" s="1">
        <f>VLOOKUP($BO17,$Z16:$AH19,4,FALSE)</f>
        <v>0</v>
      </c>
      <c r="BS17" s="1">
        <f>VLOOKUP($BO17,$Z16:$AH19,5,FALSE)</f>
        <v>0</v>
      </c>
      <c r="BT17" s="1">
        <f>VLOOKUP($BO17,$Z16:$AH19,6,FALSE)</f>
        <v>0</v>
      </c>
      <c r="BU17" s="1">
        <f>VLOOKUP($BO17,$Z16:$AH19,7,FALSE)</f>
        <v>0</v>
      </c>
      <c r="BV17" s="1">
        <f>VLOOKUP($BO17,$Z16:$AH19,8,FALSE)</f>
        <v>0</v>
      </c>
      <c r="BW17" s="1">
        <f>VLOOKUP($BO17,$Z16:$AH19,9,FALSE)</f>
        <v>0</v>
      </c>
    </row>
    <row r="18" spans="2:75" ht="13.5" thickBot="1">
      <c r="B18" s="20">
        <v>38515</v>
      </c>
      <c r="C18" s="21">
        <v>0.625</v>
      </c>
      <c r="D18" s="39">
        <v>12</v>
      </c>
      <c r="E18" s="24" t="s">
        <v>72</v>
      </c>
      <c r="F18" s="42"/>
      <c r="G18" s="42"/>
      <c r="H18" s="1" t="s">
        <v>48</v>
      </c>
      <c r="I18" s="1" t="s">
        <v>96</v>
      </c>
      <c r="J18" s="22" t="s">
        <v>90</v>
      </c>
      <c r="K18" s="23" t="s">
        <v>21</v>
      </c>
      <c r="L18" s="1">
        <f>IF(F18&lt;&gt;"",IF(F18&gt;G18,E18,IF(G18&gt;F18,H18,"Draw")),"")</f>
      </c>
      <c r="M18" s="1">
        <f>IF(F18&lt;&gt;"",IF(F18&lt;G18,E18,IF(G18&lt;F18,H18,"Draw")),"")</f>
      </c>
      <c r="Z18" s="1" t="s">
        <v>87</v>
      </c>
      <c r="AA18" s="1">
        <f>COUNT(Trinidad_Played)</f>
        <v>0</v>
      </c>
      <c r="AB18" s="1">
        <f>COUNTIF(Groupstage_Winners,"Trinidad")</f>
        <v>0</v>
      </c>
      <c r="AC18" s="1">
        <f>COUNTIF(Groupstage_Losers,"Trinidad")</f>
        <v>0</v>
      </c>
      <c r="AD18" s="1">
        <f>AA18-(AB18+AC18)</f>
        <v>0</v>
      </c>
      <c r="AE18" s="1">
        <f>SUM(Trinidad_Played)</f>
        <v>0</v>
      </c>
      <c r="AF18" s="1">
        <f>SUM(Trinidad_Against)</f>
        <v>0</v>
      </c>
      <c r="AG18" s="1">
        <f>AE18-AF18</f>
        <v>0</v>
      </c>
      <c r="AH18" s="1">
        <f>AB18*Winpoints+AD18*Drawpoints</f>
        <v>0</v>
      </c>
      <c r="AI18" s="1" t="str">
        <f>IF($AH18&gt;=$AH19,$Z18,$Z19)</f>
        <v>Trinidad</v>
      </c>
      <c r="AJ18" s="1">
        <f>VLOOKUP($AI18,$Z16:$AH19,9,FALSE)</f>
        <v>0</v>
      </c>
      <c r="AK18" s="1" t="str">
        <f>IF($AJ18&lt;=$AJ16,$AI18,$AI16)</f>
        <v>Trinidad</v>
      </c>
      <c r="AL18" s="1">
        <f>VLOOKUP($AK18,$Z16:$AH19,9,FALSE)</f>
        <v>0</v>
      </c>
      <c r="AM18" s="1" t="str">
        <f>IF($AL18&lt;=$AL17,$AK18,$AK17)</f>
        <v>Trinidad</v>
      </c>
      <c r="AN18" s="1">
        <f>VLOOKUP($AM18,$Z16:$AH19,9,FALSE)</f>
        <v>0</v>
      </c>
      <c r="AO18" s="1">
        <f>VLOOKUP($AM18,$Z16:$AH19,8,FALSE)</f>
        <v>0</v>
      </c>
      <c r="AP18" s="1" t="str">
        <f>IF(AND($AN18=$AN19,$AO19&gt;$AO18),$AM19,$AM18)</f>
        <v>Trinidad</v>
      </c>
      <c r="AQ18" s="1">
        <f>VLOOKUP($AP18,$Z16:$AH19,9,FALSE)</f>
        <v>0</v>
      </c>
      <c r="AR18" s="1">
        <f>VLOOKUP($AP18,$Z16:$AH19,8,FALSE)</f>
        <v>0</v>
      </c>
      <c r="AS18" s="1" t="str">
        <f>IF(AND($AQ16=$AQ18,$AR18&gt;$AR16),$AP16,$AP18)</f>
        <v>Trinidad</v>
      </c>
      <c r="AT18" s="1">
        <f>VLOOKUP($AS18,$Z16:$AH19,9,FALSE)</f>
        <v>0</v>
      </c>
      <c r="AU18" s="1">
        <f>VLOOKUP($AS18,$Z16:$AH19,8,FALSE)</f>
        <v>0</v>
      </c>
      <c r="AV18" s="1" t="str">
        <f>IF(AND($AT17=$AT18,$AU18&gt;$AU17),$AS17,$AS18)</f>
        <v>Trinidad</v>
      </c>
      <c r="AW18" s="1">
        <f>VLOOKUP($AV18,$Z16:$AH19,9,FALSE)</f>
        <v>0</v>
      </c>
      <c r="AX18" s="1">
        <f>VLOOKUP($AV18,$Z16:$AH19,8,FALSE)</f>
        <v>0</v>
      </c>
      <c r="AY18" s="1">
        <f>VLOOKUP($AV18,$Z16:$AH19,6,FALSE)</f>
        <v>0</v>
      </c>
      <c r="AZ18" s="1" t="str">
        <f>IF(AND($AW18=$AW19,$AX18=$AX19,$AY19&gt;$AY18),$AV19,$AV18)</f>
        <v>Trinidad</v>
      </c>
      <c r="BA18" s="1">
        <f>VLOOKUP($AZ18,$Z16:$AH19,9,FALSE)</f>
        <v>0</v>
      </c>
      <c r="BB18" s="1">
        <f>VLOOKUP($AZ18,$Z16:$AH19,8,FALSE)</f>
        <v>0</v>
      </c>
      <c r="BC18" s="1">
        <f>VLOOKUP($AZ18,$Z16:$AH19,6,FALSE)</f>
        <v>0</v>
      </c>
      <c r="BD18" s="1" t="str">
        <f>IF(AND($BA16=$BA18,$BB16=$BB18,$BC18&gt;$BC16),$AZ16,$AZ18)</f>
        <v>Trinidad</v>
      </c>
      <c r="BE18" s="1">
        <f>VLOOKUP($BD18,$Z16:$AH19,9,FALSE)</f>
        <v>0</v>
      </c>
      <c r="BF18" s="1">
        <f>VLOOKUP($BD18,$Z16:$AH19,8,FALSE)</f>
        <v>0</v>
      </c>
      <c r="BG18" s="1">
        <f>VLOOKUP($BD18,$Z16:$AH19,6,FALSE)</f>
        <v>0</v>
      </c>
      <c r="BH18" s="1" t="str">
        <f>IF(AND($BE17=$BE18,$BF17=$BF18,$BG18&gt;$BG17),$BD17,$BD18)</f>
        <v>Trinidad</v>
      </c>
      <c r="BI18" s="1">
        <f>VLOOKUP($BH18,$Z16:$AH19,9,FALSE)</f>
        <v>0</v>
      </c>
      <c r="BJ18" s="1">
        <f>VLOOKUP($BH18,$Z16:$AH19,8,FALSE)</f>
        <v>0</v>
      </c>
      <c r="BK18" s="1">
        <f>VLOOKUP($BH18,$Z16:$AH19,6,FALSE)</f>
        <v>0</v>
      </c>
      <c r="BO18" s="1" t="str">
        <f>BH18</f>
        <v>Trinidad</v>
      </c>
      <c r="BP18" s="1">
        <f>VLOOKUP($BO18,$Z16:$AH19,2,FALSE)</f>
        <v>0</v>
      </c>
      <c r="BQ18" s="1">
        <f>VLOOKUP($BO18,$Z16:$AH19,3,FALSE)</f>
        <v>0</v>
      </c>
      <c r="BR18" s="1">
        <f>VLOOKUP($BO18,$Z16:$AH19,4,FALSE)</f>
        <v>0</v>
      </c>
      <c r="BS18" s="1">
        <f>VLOOKUP($BO18,$Z16:$AH19,5,FALSE)</f>
        <v>0</v>
      </c>
      <c r="BT18" s="1">
        <f>VLOOKUP($BO18,$Z16:$AH19,6,FALSE)</f>
        <v>0</v>
      </c>
      <c r="BU18" s="1">
        <f>VLOOKUP($BO18,$Z16:$AH19,7,FALSE)</f>
        <v>0</v>
      </c>
      <c r="BV18" s="1">
        <f>VLOOKUP($BO18,$Z16:$AH19,8,FALSE)</f>
        <v>0</v>
      </c>
      <c r="BW18" s="1">
        <f>VLOOKUP($BO18,$Z16:$AH19,9,FALSE)</f>
        <v>0</v>
      </c>
    </row>
    <row r="19" spans="2:75" ht="15.75" thickBot="1">
      <c r="B19" s="20">
        <v>38516</v>
      </c>
      <c r="C19" s="21">
        <v>0.875</v>
      </c>
      <c r="D19" s="39">
        <v>11</v>
      </c>
      <c r="E19" s="24" t="s">
        <v>42</v>
      </c>
      <c r="F19" s="42"/>
      <c r="G19" s="42"/>
      <c r="H19" s="1" t="s">
        <v>39</v>
      </c>
      <c r="I19" s="1" t="s">
        <v>93</v>
      </c>
      <c r="J19" s="22" t="s">
        <v>85</v>
      </c>
      <c r="K19" s="23" t="s">
        <v>21</v>
      </c>
      <c r="L19" s="1">
        <f>IF(F19&lt;&gt;"",IF(F19&gt;G19,E19,IF(G19&gt;F19,H19,"Draw")),"")</f>
      </c>
      <c r="M19" s="1">
        <f>IF(F19&lt;&gt;"",IF(F19&lt;G19,E19,IF(G19&lt;F19,H19,"Draw")),"")</f>
      </c>
      <c r="O19" s="44"/>
      <c r="P19" s="4" t="s">
        <v>47</v>
      </c>
      <c r="Q19" s="5"/>
      <c r="R19" s="5"/>
      <c r="S19" s="5"/>
      <c r="T19" s="5"/>
      <c r="U19" s="5"/>
      <c r="V19" s="5"/>
      <c r="W19" s="5"/>
      <c r="X19" s="6"/>
      <c r="Z19" s="1" t="s">
        <v>33</v>
      </c>
      <c r="AA19" s="1">
        <f>COUNT(Sweden_Played)</f>
        <v>0</v>
      </c>
      <c r="AB19" s="1">
        <f>COUNTIF(Groupstage_Winners,"Sweden")</f>
        <v>0</v>
      </c>
      <c r="AC19" s="1">
        <f>COUNTIF(Groupstage_Losers,"Sweden")</f>
        <v>0</v>
      </c>
      <c r="AD19" s="1">
        <f>AA19-(AB19+AC19)</f>
        <v>0</v>
      </c>
      <c r="AE19" s="1">
        <f>SUM(Sweden_Played)</f>
        <v>0</v>
      </c>
      <c r="AF19" s="1">
        <f>SUM(Sweden_Against)</f>
        <v>0</v>
      </c>
      <c r="AG19" s="1">
        <f>AE19-AF19</f>
        <v>0</v>
      </c>
      <c r="AH19" s="1">
        <f>AB19*Winpoints+AD19*Drawpoints</f>
        <v>0</v>
      </c>
      <c r="AI19" s="1" t="str">
        <f>IF($AH19&lt;=$AH18,$Z19,$Z18)</f>
        <v>Sweden</v>
      </c>
      <c r="AJ19" s="1">
        <f>VLOOKUP($AI19,$Z16:$AH19,9,FALSE)</f>
        <v>0</v>
      </c>
      <c r="AK19" s="1" t="str">
        <f>IF(AJ19&lt;=AJ17,AI19,AI17)</f>
        <v>Sweden</v>
      </c>
      <c r="AL19" s="1">
        <f>VLOOKUP($AK19,$Z16:$AH19,9,FALSE)</f>
        <v>0</v>
      </c>
      <c r="AM19" s="1" t="str">
        <f>IF($AL19&lt;=$AL16,$AK19,$AK16)</f>
        <v>Sweden</v>
      </c>
      <c r="AN19" s="1">
        <f>VLOOKUP($AM19,$Z16:$AH19,9,FALSE)</f>
        <v>0</v>
      </c>
      <c r="AO19" s="1">
        <f>VLOOKUP($AM19,$Z16:$AH19,8,FALSE)</f>
        <v>0</v>
      </c>
      <c r="AP19" s="1" t="str">
        <f>IF(AND($AN18=$AN19,$AO19&gt;$AO18),$AM18,$AM19)</f>
        <v>Sweden</v>
      </c>
      <c r="AQ19" s="1">
        <f>VLOOKUP($AP19,$Z16:$AH19,9,FALSE)</f>
        <v>0</v>
      </c>
      <c r="AR19" s="1">
        <f>VLOOKUP($AP19,$Z16:$AH19,8,FALSE)</f>
        <v>0</v>
      </c>
      <c r="AS19" s="1" t="str">
        <f>IF(AND($AQ17=$AQ19,$AR19&gt;$AR17),$AP17,$AP19)</f>
        <v>Sweden</v>
      </c>
      <c r="AT19" s="1">
        <f>VLOOKUP($AS19,$Z16:$AH19,9,FALSE)</f>
        <v>0</v>
      </c>
      <c r="AU19" s="1">
        <f>VLOOKUP($AS19,$Z16:$AH19,8,FALSE)</f>
        <v>0</v>
      </c>
      <c r="AV19" s="1" t="str">
        <f>IF(AND($AT16=$AT19,$AU19&gt;$AU16),$AS16,$AS19)</f>
        <v>Sweden</v>
      </c>
      <c r="AW19" s="1">
        <f>VLOOKUP($AV19,$Z16:$AH19,9,FALSE)</f>
        <v>0</v>
      </c>
      <c r="AX19" s="1">
        <f>VLOOKUP($AV19,$Z16:$AH19,8,FALSE)</f>
        <v>0</v>
      </c>
      <c r="AY19" s="1">
        <f>VLOOKUP($AV19,$Z16:$AH19,6,FALSE)</f>
        <v>0</v>
      </c>
      <c r="AZ19" s="1" t="str">
        <f>IF(AND($AW18=$AW19,$AX18=$AX19,$AY19&gt;$AY18),$AV18,$AV19)</f>
        <v>Sweden</v>
      </c>
      <c r="BA19" s="1">
        <f>VLOOKUP($AZ19,$Z16:$AH19,9,FALSE)</f>
        <v>0</v>
      </c>
      <c r="BB19" s="1">
        <f>VLOOKUP($AZ19,$Z16:$AH19,8,FALSE)</f>
        <v>0</v>
      </c>
      <c r="BC19" s="1">
        <f>VLOOKUP($AZ19,$Z16:$AH19,6,FALSE)</f>
        <v>0</v>
      </c>
      <c r="BD19" s="1" t="str">
        <f>IF(AND($BA17=$BA19,$BB17=$BB19,$BC19&gt;$BC17),$AZ17,$AZ19)</f>
        <v>Sweden</v>
      </c>
      <c r="BE19" s="1">
        <f>VLOOKUP($BD19,$Z16:$AH19,9,FALSE)</f>
        <v>0</v>
      </c>
      <c r="BF19" s="1">
        <f>VLOOKUP($BD19,$Z16:$AH19,8,FALSE)</f>
        <v>0</v>
      </c>
      <c r="BG19" s="1">
        <f>VLOOKUP($BD19,$Z16:$AH19,6,FALSE)</f>
        <v>0</v>
      </c>
      <c r="BH19" s="1" t="str">
        <f>IF(AND($BE16=$BE19,$BF16=$BF19,$BG19&gt;$BG16),$BD16,$BD19)</f>
        <v>Sweden</v>
      </c>
      <c r="BI19" s="1">
        <f>VLOOKUP($BH19,$Z16:$AH19,9,FALSE)</f>
        <v>0</v>
      </c>
      <c r="BJ19" s="1">
        <f>VLOOKUP($BH19,$Z16:$AH19,8,FALSE)</f>
        <v>0</v>
      </c>
      <c r="BK19" s="1">
        <f>VLOOKUP($BH19,$Z16:$AH19,6,FALSE)</f>
        <v>0</v>
      </c>
      <c r="BO19" s="1" t="str">
        <f>BH19</f>
        <v>Sweden</v>
      </c>
      <c r="BP19" s="1">
        <f>VLOOKUP($BO19,$Z16:$AH19,2,FALSE)</f>
        <v>0</v>
      </c>
      <c r="BQ19" s="1">
        <f>VLOOKUP($BO19,$Z16:$AH19,3,FALSE)</f>
        <v>0</v>
      </c>
      <c r="BR19" s="1">
        <f>VLOOKUP($BO19,$Z16:$AH19,4,FALSE)</f>
        <v>0</v>
      </c>
      <c r="BS19" s="1">
        <f>VLOOKUP($BO19,$Z16:$AH19,5,FALSE)</f>
        <v>0</v>
      </c>
      <c r="BT19" s="1">
        <f>VLOOKUP($BO19,$Z16:$AH19,6,FALSE)</f>
        <v>0</v>
      </c>
      <c r="BU19" s="1">
        <f>VLOOKUP($BO19,$Z16:$AH19,7,FALSE)</f>
        <v>0</v>
      </c>
      <c r="BV19" s="1">
        <f>VLOOKUP($BO19,$Z16:$AH19,8,FALSE)</f>
        <v>0</v>
      </c>
      <c r="BW19" s="1">
        <f>VLOOKUP($BO19,$Z16:$AH19,9,FALSE)</f>
        <v>0</v>
      </c>
    </row>
    <row r="20" spans="2:24" ht="13.5" thickBot="1">
      <c r="B20" s="20">
        <v>38516</v>
      </c>
      <c r="C20" s="21">
        <v>0.75</v>
      </c>
      <c r="D20" s="39">
        <f>D19+2</f>
        <v>13</v>
      </c>
      <c r="E20" s="24" t="s">
        <v>25</v>
      </c>
      <c r="F20" s="42"/>
      <c r="G20" s="42"/>
      <c r="H20" s="1" t="s">
        <v>73</v>
      </c>
      <c r="I20" s="1" t="s">
        <v>98</v>
      </c>
      <c r="J20" s="22" t="s">
        <v>86</v>
      </c>
      <c r="K20" s="23" t="s">
        <v>41</v>
      </c>
      <c r="L20" s="1">
        <f aca="true" t="shared" si="7" ref="L20:L34">IF(F20&lt;&gt;"",IF(F20&gt;G20,E20,IF(G20&gt;F20,H20,"Draw")),"")</f>
      </c>
      <c r="M20" s="1">
        <f aca="true" t="shared" si="8" ref="M20:M34">IF(F20&lt;&gt;"",IF(F20&lt;G20,E20,IF(G20&lt;F20,H20,"Draw")),"")</f>
      </c>
      <c r="O20" s="45" t="s">
        <v>106</v>
      </c>
      <c r="P20" s="41" t="s">
        <v>28</v>
      </c>
      <c r="Q20" s="11" t="s">
        <v>17</v>
      </c>
      <c r="R20" s="11" t="s">
        <v>18</v>
      </c>
      <c r="S20" s="11" t="s">
        <v>20</v>
      </c>
      <c r="T20" s="11" t="s">
        <v>19</v>
      </c>
      <c r="U20" s="11" t="s">
        <v>21</v>
      </c>
      <c r="V20" s="11" t="s">
        <v>22</v>
      </c>
      <c r="W20" s="11" t="s">
        <v>23</v>
      </c>
      <c r="X20" s="12" t="s">
        <v>24</v>
      </c>
    </row>
    <row r="21" spans="2:26" ht="13.5" thickBot="1">
      <c r="B21" s="20">
        <v>38516</v>
      </c>
      <c r="C21" s="21">
        <v>0.625</v>
      </c>
      <c r="D21" s="39">
        <f t="shared" si="4"/>
        <v>14</v>
      </c>
      <c r="E21" s="24" t="s">
        <v>50</v>
      </c>
      <c r="F21" s="42"/>
      <c r="G21" s="42"/>
      <c r="H21" s="1" t="s">
        <v>74</v>
      </c>
      <c r="I21" s="1" t="s">
        <v>95</v>
      </c>
      <c r="J21" s="22" t="s">
        <v>78</v>
      </c>
      <c r="K21" s="23" t="s">
        <v>41</v>
      </c>
      <c r="L21" s="1">
        <f t="shared" si="7"/>
      </c>
      <c r="M21" s="1">
        <f t="shared" si="8"/>
      </c>
      <c r="O21" s="43"/>
      <c r="P21" s="17" t="str">
        <f aca="true" t="shared" si="9" ref="P21:R24">BO23</f>
        <v>Argentina</v>
      </c>
      <c r="Q21" s="18">
        <f t="shared" si="9"/>
        <v>0</v>
      </c>
      <c r="R21" s="18">
        <f t="shared" si="9"/>
        <v>0</v>
      </c>
      <c r="S21" s="18">
        <f>BS23</f>
        <v>0</v>
      </c>
      <c r="T21" s="18">
        <f>BR23</f>
        <v>0</v>
      </c>
      <c r="U21" s="18">
        <f aca="true" t="shared" si="10" ref="U21:X24">BT23</f>
        <v>0</v>
      </c>
      <c r="V21" s="18">
        <f t="shared" si="10"/>
        <v>0</v>
      </c>
      <c r="W21" s="18">
        <f t="shared" si="10"/>
        <v>0</v>
      </c>
      <c r="X21" s="19">
        <f t="shared" si="10"/>
        <v>0</v>
      </c>
      <c r="Z21" s="1" t="s">
        <v>47</v>
      </c>
    </row>
    <row r="22" spans="2:34" ht="13.5" thickBot="1">
      <c r="B22" s="20">
        <v>38517</v>
      </c>
      <c r="C22" s="21">
        <v>0.625</v>
      </c>
      <c r="D22" s="39">
        <f t="shared" si="4"/>
        <v>15</v>
      </c>
      <c r="E22" s="24" t="s">
        <v>38</v>
      </c>
      <c r="F22" s="42"/>
      <c r="G22" s="42"/>
      <c r="H22" s="1" t="s">
        <v>75</v>
      </c>
      <c r="I22" s="1" t="s">
        <v>99</v>
      </c>
      <c r="J22" s="22" t="s">
        <v>81</v>
      </c>
      <c r="K22" s="23" t="s">
        <v>49</v>
      </c>
      <c r="L22" s="1">
        <f t="shared" si="7"/>
      </c>
      <c r="M22" s="1">
        <f t="shared" si="8"/>
      </c>
      <c r="O22" s="43"/>
      <c r="P22" s="17" t="str">
        <f t="shared" si="9"/>
        <v>Ivory Coast</v>
      </c>
      <c r="Q22" s="18">
        <f t="shared" si="9"/>
        <v>0</v>
      </c>
      <c r="R22" s="18">
        <f t="shared" si="9"/>
        <v>0</v>
      </c>
      <c r="S22" s="18">
        <f>BS24</f>
        <v>0</v>
      </c>
      <c r="T22" s="18">
        <f>BR24</f>
        <v>0</v>
      </c>
      <c r="U22" s="18">
        <f t="shared" si="10"/>
        <v>0</v>
      </c>
      <c r="V22" s="18">
        <f t="shared" si="10"/>
        <v>0</v>
      </c>
      <c r="W22" s="18">
        <f t="shared" si="10"/>
        <v>0</v>
      </c>
      <c r="X22" s="19">
        <f t="shared" si="10"/>
        <v>0</v>
      </c>
      <c r="AA22" s="1" t="s">
        <v>26</v>
      </c>
      <c r="AB22" s="1" t="s">
        <v>18</v>
      </c>
      <c r="AC22" s="1" t="s">
        <v>19</v>
      </c>
      <c r="AD22" s="1" t="s">
        <v>20</v>
      </c>
      <c r="AE22" s="1" t="s">
        <v>21</v>
      </c>
      <c r="AF22" s="1" t="s">
        <v>22</v>
      </c>
      <c r="AG22" s="1" t="s">
        <v>23</v>
      </c>
      <c r="AH22" s="1" t="s">
        <v>27</v>
      </c>
    </row>
    <row r="23" spans="2:75" ht="13.5" thickBot="1">
      <c r="B23" s="20">
        <v>38517</v>
      </c>
      <c r="C23" s="21">
        <v>0.75</v>
      </c>
      <c r="D23" s="39">
        <f t="shared" si="4"/>
        <v>16</v>
      </c>
      <c r="E23" s="24" t="s">
        <v>52</v>
      </c>
      <c r="F23" s="42"/>
      <c r="G23" s="42"/>
      <c r="H23" s="1" t="s">
        <v>31</v>
      </c>
      <c r="I23" s="1" t="s">
        <v>100</v>
      </c>
      <c r="J23" s="22" t="s">
        <v>76</v>
      </c>
      <c r="K23" s="23" t="s">
        <v>49</v>
      </c>
      <c r="L23" s="1">
        <f t="shared" si="7"/>
      </c>
      <c r="M23" s="1">
        <f t="shared" si="8"/>
      </c>
      <c r="O23" s="43"/>
      <c r="P23" s="17" t="str">
        <f t="shared" si="9"/>
        <v>Serbia</v>
      </c>
      <c r="Q23" s="18">
        <f t="shared" si="9"/>
        <v>0</v>
      </c>
      <c r="R23" s="18">
        <f t="shared" si="9"/>
        <v>0</v>
      </c>
      <c r="S23" s="18">
        <f>BS25</f>
        <v>0</v>
      </c>
      <c r="T23" s="18">
        <f>BR25</f>
        <v>0</v>
      </c>
      <c r="U23" s="18">
        <f t="shared" si="10"/>
        <v>0</v>
      </c>
      <c r="V23" s="18">
        <f t="shared" si="10"/>
        <v>0</v>
      </c>
      <c r="W23" s="18">
        <f t="shared" si="10"/>
        <v>0</v>
      </c>
      <c r="X23" s="19">
        <f t="shared" si="10"/>
        <v>0</v>
      </c>
      <c r="Z23" s="1" t="s">
        <v>37</v>
      </c>
      <c r="AA23" s="1">
        <f>COUNT(Argentina_Played)</f>
        <v>0</v>
      </c>
      <c r="AB23" s="1">
        <f>COUNTIF(Groupstage_Winners,"Argentina")</f>
        <v>0</v>
      </c>
      <c r="AC23" s="1">
        <f>COUNTIF(Groupstage_Losers,"Argentina")</f>
        <v>0</v>
      </c>
      <c r="AD23" s="1">
        <f>AA23-(AB23+AC23)</f>
        <v>0</v>
      </c>
      <c r="AE23" s="1">
        <f>SUM(Argentina_Played)</f>
        <v>0</v>
      </c>
      <c r="AF23" s="1">
        <f>SUM(Argentina_Against)</f>
        <v>0</v>
      </c>
      <c r="AG23" s="1">
        <f>AE23-AF23</f>
        <v>0</v>
      </c>
      <c r="AH23" s="1">
        <f>AB23*Winpoints+AD23*Drawpoints</f>
        <v>0</v>
      </c>
      <c r="AI23" s="1" t="str">
        <f>IF($AH23&gt;=$AH24,$Z23,$Z24)</f>
        <v>Argentina</v>
      </c>
      <c r="AJ23" s="1">
        <f>VLOOKUP($AI23,$Z23:$AH26,9,FALSE)</f>
        <v>0</v>
      </c>
      <c r="AK23" s="1" t="str">
        <f>IF($AJ23&gt;=$AJ25,$AI23,$AI25)</f>
        <v>Argentina</v>
      </c>
      <c r="AL23" s="1">
        <f>VLOOKUP($AK23,$Z23:$AH26,9,FALSE)</f>
        <v>0</v>
      </c>
      <c r="AM23" s="1" t="str">
        <f>IF($AL23&gt;=$AL26,$AK23,$AK26)</f>
        <v>Argentina</v>
      </c>
      <c r="AN23" s="1">
        <f>VLOOKUP($AM23,$Z23:$AH26,9,FALSE)</f>
        <v>0</v>
      </c>
      <c r="AO23" s="1">
        <f>VLOOKUP($AM23,$Z23:$AH26,8,FALSE)</f>
        <v>0</v>
      </c>
      <c r="AP23" s="1" t="str">
        <f>IF(AND($AN23=$AN24,$AO24&gt;$AO23),$AM24,$AM23)</f>
        <v>Argentina</v>
      </c>
      <c r="AQ23" s="1">
        <f>VLOOKUP($AP23,$Z23:$AH26,9,FALSE)</f>
        <v>0</v>
      </c>
      <c r="AR23" s="1">
        <f>VLOOKUP($AP23,$Z23:$AH26,8,FALSE)</f>
        <v>0</v>
      </c>
      <c r="AS23" s="1" t="str">
        <f>IF(AND($AQ23=$AQ25,$AR25&gt;$AR23),$AP25,$AP23)</f>
        <v>Argentina</v>
      </c>
      <c r="AT23" s="1">
        <f>VLOOKUP($AS23,$Z23:$AH26,9,FALSE)</f>
        <v>0</v>
      </c>
      <c r="AU23" s="1">
        <f>VLOOKUP($AS23,$Z23:$AH26,8,FALSE)</f>
        <v>0</v>
      </c>
      <c r="AV23" s="1" t="str">
        <f>IF(AND($AT23=$AT26,$AU26&gt;$AU23),$AS26,$AS23)</f>
        <v>Argentina</v>
      </c>
      <c r="AW23" s="1">
        <f>VLOOKUP($AV23,$Z23:$AH26,9,FALSE)</f>
        <v>0</v>
      </c>
      <c r="AX23" s="1">
        <f>VLOOKUP($AV23,$Z23:$AH26,8,FALSE)</f>
        <v>0</v>
      </c>
      <c r="AY23" s="1">
        <f>VLOOKUP($AV23,$Z23:$AH26,6,FALSE)</f>
        <v>0</v>
      </c>
      <c r="AZ23" s="1" t="str">
        <f>IF(AND($AW23=$AW24,$AX23=$AX24,$AY24&gt;$AY23),$AV24,$AV23)</f>
        <v>Argentina</v>
      </c>
      <c r="BA23" s="1">
        <f>VLOOKUP($AZ23,$Z23:$AH26,9,FALSE)</f>
        <v>0</v>
      </c>
      <c r="BB23" s="1">
        <f>VLOOKUP($AZ23,$Z23:$AH26,8,FALSE)</f>
        <v>0</v>
      </c>
      <c r="BC23" s="1">
        <f>VLOOKUP($AZ23,$Z23:$AH26,6,FALSE)</f>
        <v>0</v>
      </c>
      <c r="BD23" s="1" t="str">
        <f>IF(AND($BA23=$BA25,$BB23=$BB25,$BC25&gt;$BC23),$AZ25,$AZ23)</f>
        <v>Argentina</v>
      </c>
      <c r="BE23" s="1">
        <f>VLOOKUP($BD23,$Z23:$AH26,9,FALSE)</f>
        <v>0</v>
      </c>
      <c r="BF23" s="1">
        <f>VLOOKUP($BD23,$Z23:$AH26,8,FALSE)</f>
        <v>0</v>
      </c>
      <c r="BG23" s="1">
        <f>VLOOKUP($BD23,$Z23:$AH26,6,FALSE)</f>
        <v>0</v>
      </c>
      <c r="BH23" s="1" t="str">
        <f>IF(AND($BE23=$BE26,$BF23=$BF26,$BG26&gt;$BG23),$BD26,$BD23)</f>
        <v>Argentina</v>
      </c>
      <c r="BI23" s="1">
        <f>VLOOKUP($BH23,$Z23:$AH26,9,FALSE)</f>
        <v>0</v>
      </c>
      <c r="BJ23" s="1">
        <f>VLOOKUP($BH23,$Z23:$AH26,8,FALSE)</f>
        <v>0</v>
      </c>
      <c r="BK23" s="1">
        <f>VLOOKUP($BH23,$Z23:$AH26,6,FALSE)</f>
        <v>0</v>
      </c>
      <c r="BO23" s="1" t="str">
        <f>BH23</f>
        <v>Argentina</v>
      </c>
      <c r="BP23" s="1">
        <f>VLOOKUP($BO23,$Z23:$AH26,2,FALSE)</f>
        <v>0</v>
      </c>
      <c r="BQ23" s="1">
        <f>VLOOKUP($BO23,$Z23:$AH26,3,FALSE)</f>
        <v>0</v>
      </c>
      <c r="BR23" s="1">
        <f>VLOOKUP($BO23,$Z23:$AH26,4,FALSE)</f>
        <v>0</v>
      </c>
      <c r="BS23" s="1">
        <f>VLOOKUP($BO23,$Z23:$AH26,5,FALSE)</f>
        <v>0</v>
      </c>
      <c r="BT23" s="1">
        <f>VLOOKUP($BO23,$Z23:$AH26,6,FALSE)</f>
        <v>0</v>
      </c>
      <c r="BU23" s="1">
        <f>VLOOKUP($BO23,$Z23:$AH26,7,FALSE)</f>
        <v>0</v>
      </c>
      <c r="BV23" s="1">
        <f>VLOOKUP($BO23,$Z23:$AH26,8,FALSE)</f>
        <v>0</v>
      </c>
      <c r="BW23" s="1">
        <f>VLOOKUP($BO23,$Z23:$AH26,9,FALSE)</f>
        <v>0</v>
      </c>
    </row>
    <row r="24" spans="2:75" ht="13.5" thickBot="1">
      <c r="B24" s="20">
        <v>38517</v>
      </c>
      <c r="C24" s="21">
        <v>0.875</v>
      </c>
      <c r="D24" s="39">
        <f t="shared" si="4"/>
        <v>17</v>
      </c>
      <c r="E24" s="24" t="s">
        <v>30</v>
      </c>
      <c r="F24" s="42"/>
      <c r="G24" s="42"/>
      <c r="H24" s="1" t="s">
        <v>51</v>
      </c>
      <c r="I24" s="1" t="s">
        <v>94</v>
      </c>
      <c r="J24" s="22" t="s">
        <v>79</v>
      </c>
      <c r="K24" s="23" t="s">
        <v>22</v>
      </c>
      <c r="L24" s="1">
        <f t="shared" si="7"/>
      </c>
      <c r="M24" s="1">
        <f t="shared" si="8"/>
      </c>
      <c r="O24" s="43"/>
      <c r="P24" s="25" t="str">
        <f t="shared" si="9"/>
        <v>Netherlands</v>
      </c>
      <c r="Q24" s="26">
        <f t="shared" si="9"/>
        <v>0</v>
      </c>
      <c r="R24" s="26">
        <f t="shared" si="9"/>
        <v>0</v>
      </c>
      <c r="S24" s="26">
        <f>BS26</f>
        <v>0</v>
      </c>
      <c r="T24" s="26">
        <f>BR26</f>
        <v>0</v>
      </c>
      <c r="U24" s="26">
        <f t="shared" si="10"/>
        <v>0</v>
      </c>
      <c r="V24" s="26">
        <f t="shared" si="10"/>
        <v>0</v>
      </c>
      <c r="W24" s="26">
        <f t="shared" si="10"/>
        <v>0</v>
      </c>
      <c r="X24" s="27">
        <f t="shared" si="10"/>
        <v>0</v>
      </c>
      <c r="Z24" s="1" t="s">
        <v>67</v>
      </c>
      <c r="AA24" s="1">
        <f>COUNT(Ivory_Played)</f>
        <v>0</v>
      </c>
      <c r="AB24" s="1">
        <f>COUNTIF(Groupstage_Winners,"Ivory Coast")</f>
        <v>0</v>
      </c>
      <c r="AC24" s="1">
        <f>COUNTIF(Groupstage_Losers,"Ivory Coast")</f>
        <v>0</v>
      </c>
      <c r="AD24" s="1">
        <f>AA24-(AB24+AC24)</f>
        <v>0</v>
      </c>
      <c r="AE24" s="1">
        <f>SUM(Ivory_Played)</f>
        <v>0</v>
      </c>
      <c r="AF24" s="1">
        <f>SUM(Ivory_Against)</f>
        <v>0</v>
      </c>
      <c r="AG24" s="1">
        <f>AE24-AF24</f>
        <v>0</v>
      </c>
      <c r="AH24" s="1">
        <f>AB24*Winpoints+AD24*Drawpoints</f>
        <v>0</v>
      </c>
      <c r="AI24" s="1" t="str">
        <f>IF($AH24&lt;=$AH23,$Z24,$Z23)</f>
        <v>Ivory Coast</v>
      </c>
      <c r="AJ24" s="1">
        <f>VLOOKUP($AI24,$Z23:$AH26,9,FALSE)</f>
        <v>0</v>
      </c>
      <c r="AK24" s="1" t="str">
        <f>IF(AJ24&gt;=AJ26,AI24,AI26)</f>
        <v>Ivory Coast</v>
      </c>
      <c r="AL24" s="1">
        <f>VLOOKUP($AK24,$Z23:$AH26,9,FALSE)</f>
        <v>0</v>
      </c>
      <c r="AM24" s="1" t="str">
        <f>IF($AL24&gt;=$AL25,$AK24,$AK25)</f>
        <v>Ivory Coast</v>
      </c>
      <c r="AN24" s="1">
        <f>VLOOKUP($AM24,$Z23:$AH26,9,FALSE)</f>
        <v>0</v>
      </c>
      <c r="AO24" s="1">
        <f>VLOOKUP($AM24,$Z23:$AH26,8,FALSE)</f>
        <v>0</v>
      </c>
      <c r="AP24" s="1" t="str">
        <f>IF(AND($AN23=$AN24,$AO24&gt;$AO23),$AM23,$AM24)</f>
        <v>Ivory Coast</v>
      </c>
      <c r="AQ24" s="1">
        <f>VLOOKUP($AP24,$Z23:$AH26,9,FALSE)</f>
        <v>0</v>
      </c>
      <c r="AR24" s="1">
        <f>VLOOKUP($AP24,$Z23:$AH26,8,FALSE)</f>
        <v>0</v>
      </c>
      <c r="AS24" s="1" t="str">
        <f>IF(AND($AQ24=$AQ26,$AR26&gt;$AR24),$AP26,$AP24)</f>
        <v>Ivory Coast</v>
      </c>
      <c r="AT24" s="1">
        <f>VLOOKUP($AS24,$Z23:$AH26,9,FALSE)</f>
        <v>0</v>
      </c>
      <c r="AU24" s="1">
        <f>VLOOKUP($AS24,$Z23:$AH26,8,FALSE)</f>
        <v>0</v>
      </c>
      <c r="AV24" s="1" t="str">
        <f>IF(AND($AT24=$AT25,$AU25&gt;$AU24),$AS25,$AS24)</f>
        <v>Ivory Coast</v>
      </c>
      <c r="AW24" s="1">
        <f>VLOOKUP($AV24,$Z23:$AH26,9,FALSE)</f>
        <v>0</v>
      </c>
      <c r="AX24" s="1">
        <f>VLOOKUP($AV24,$Z23:$AH26,8,FALSE)</f>
        <v>0</v>
      </c>
      <c r="AY24" s="1">
        <f>VLOOKUP($AV24,$Z23:$AH26,6,FALSE)</f>
        <v>0</v>
      </c>
      <c r="AZ24" s="1" t="str">
        <f>IF(AND($AW23=$AW24,$AX23=$AX24,$AY24&gt;$AY23),$AV23,$AV24)</f>
        <v>Ivory Coast</v>
      </c>
      <c r="BA24" s="1">
        <f>VLOOKUP($AZ24,$Z23:$AH26,9,FALSE)</f>
        <v>0</v>
      </c>
      <c r="BB24" s="1">
        <f>VLOOKUP($AZ24,$Z23:$AH26,8,FALSE)</f>
        <v>0</v>
      </c>
      <c r="BC24" s="1">
        <f>VLOOKUP($AZ24,$Z23:$AH26,6,FALSE)</f>
        <v>0</v>
      </c>
      <c r="BD24" s="1" t="str">
        <f>IF(AND($BA24=$BA26,$BB24=$BB26,$BC26&gt;$BC24),$AZ26,$AZ24)</f>
        <v>Ivory Coast</v>
      </c>
      <c r="BE24" s="1">
        <f>VLOOKUP($BD24,$Z23:$AH26,9,FALSE)</f>
        <v>0</v>
      </c>
      <c r="BF24" s="1">
        <f>VLOOKUP($BD24,$Z23:$AH26,8,FALSE)</f>
        <v>0</v>
      </c>
      <c r="BG24" s="1">
        <f>VLOOKUP($BD24,$Z23:$AH26,6,FALSE)</f>
        <v>0</v>
      </c>
      <c r="BH24" s="1" t="str">
        <f>IF(AND($BE24=$BE25,$BF24=$BF25,$BG25&gt;$BG24),$BD25,$BD24)</f>
        <v>Ivory Coast</v>
      </c>
      <c r="BI24" s="1">
        <f>VLOOKUP($BH24,$Z23:$AH26,9,FALSE)</f>
        <v>0</v>
      </c>
      <c r="BJ24" s="1">
        <f>VLOOKUP($BH24,$Z23:$AH26,8,FALSE)</f>
        <v>0</v>
      </c>
      <c r="BK24" s="1">
        <f>VLOOKUP($BH24,$Z23:$AH26,6,FALSE)</f>
        <v>0</v>
      </c>
      <c r="BO24" s="1" t="str">
        <f>BH24</f>
        <v>Ivory Coast</v>
      </c>
      <c r="BP24" s="1">
        <f>VLOOKUP($BO24,$Z23:$AH26,2,FALSE)</f>
        <v>0</v>
      </c>
      <c r="BQ24" s="1">
        <f>VLOOKUP($BO24,$Z23:$AH26,3,FALSE)</f>
        <v>0</v>
      </c>
      <c r="BR24" s="1">
        <f>VLOOKUP($BO24,$Z23:$AH26,4,FALSE)</f>
        <v>0</v>
      </c>
      <c r="BS24" s="1">
        <f>VLOOKUP($BO24,$Z23:$AH26,5,FALSE)</f>
        <v>0</v>
      </c>
      <c r="BT24" s="1">
        <f>VLOOKUP($BO24,$Z23:$AH26,6,FALSE)</f>
        <v>0</v>
      </c>
      <c r="BU24" s="1">
        <f>VLOOKUP($BO24,$Z23:$AH26,7,FALSE)</f>
        <v>0</v>
      </c>
      <c r="BV24" s="1">
        <f>VLOOKUP($BO24,$Z23:$AH26,8,FALSE)</f>
        <v>0</v>
      </c>
      <c r="BW24" s="1">
        <f>VLOOKUP($BO24,$Z23:$AH26,9,FALSE)</f>
        <v>0</v>
      </c>
    </row>
    <row r="25" spans="2:75" ht="13.5" thickBot="1">
      <c r="B25" s="20">
        <v>38518</v>
      </c>
      <c r="C25" s="21">
        <v>0.625</v>
      </c>
      <c r="D25" s="39">
        <f t="shared" si="4"/>
        <v>18</v>
      </c>
      <c r="E25" s="24" t="s">
        <v>45</v>
      </c>
      <c r="F25" s="42"/>
      <c r="G25" s="42"/>
      <c r="H25" s="1" t="s">
        <v>46</v>
      </c>
      <c r="I25" s="1" t="s">
        <v>102</v>
      </c>
      <c r="J25" s="22" t="s">
        <v>80</v>
      </c>
      <c r="K25" s="23" t="s">
        <v>22</v>
      </c>
      <c r="L25" s="1">
        <f t="shared" si="7"/>
      </c>
      <c r="M25" s="1">
        <f t="shared" si="8"/>
      </c>
      <c r="Z25" s="1" t="s">
        <v>88</v>
      </c>
      <c r="AA25" s="1">
        <f>COUNT(Serbia_Played)</f>
        <v>0</v>
      </c>
      <c r="AB25" s="1">
        <f>COUNTIF(Groupstage_Winners,"Serbia")</f>
        <v>0</v>
      </c>
      <c r="AC25" s="1">
        <f>COUNTIF(Groupstage_Losers,"Serbia")</f>
        <v>0</v>
      </c>
      <c r="AD25" s="1">
        <f>AA25-(AB25+AC25)</f>
        <v>0</v>
      </c>
      <c r="AE25" s="1">
        <f>SUM(Serbia_Played)</f>
        <v>0</v>
      </c>
      <c r="AF25" s="1">
        <f>SUM(Serbia_Against)</f>
        <v>0</v>
      </c>
      <c r="AG25" s="1">
        <f>AE25-AF25</f>
        <v>0</v>
      </c>
      <c r="AH25" s="1">
        <f>AB25*Winpoints+AD25*Drawpoints</f>
        <v>0</v>
      </c>
      <c r="AI25" s="1" t="str">
        <f>IF($AH25&gt;=$AH26,$Z25,$Z26)</f>
        <v>Serbia</v>
      </c>
      <c r="AJ25" s="1">
        <f>VLOOKUP($AI25,$Z23:$AH26,9,FALSE)</f>
        <v>0</v>
      </c>
      <c r="AK25" s="1" t="str">
        <f>IF($AJ25&lt;=$AJ23,$AI25,$AI23)</f>
        <v>Serbia</v>
      </c>
      <c r="AL25" s="1">
        <f>VLOOKUP($AK25,$Z23:$AH26,9,FALSE)</f>
        <v>0</v>
      </c>
      <c r="AM25" s="1" t="str">
        <f>IF($AL25&lt;=$AL24,$AK25,$AK24)</f>
        <v>Serbia</v>
      </c>
      <c r="AN25" s="1">
        <f>VLOOKUP($AM25,$Z23:$AH26,9,FALSE)</f>
        <v>0</v>
      </c>
      <c r="AO25" s="1">
        <f>VLOOKUP($AM25,$Z23:$AH26,8,FALSE)</f>
        <v>0</v>
      </c>
      <c r="AP25" s="1" t="str">
        <f>IF(AND($AN25=$AN26,$AO26&gt;$AO25),$AM26,$AM25)</f>
        <v>Serbia</v>
      </c>
      <c r="AQ25" s="1">
        <f>VLOOKUP($AP25,$Z23:$AH26,9,FALSE)</f>
        <v>0</v>
      </c>
      <c r="AR25" s="1">
        <f>VLOOKUP($AP25,$Z23:$AH26,8,FALSE)</f>
        <v>0</v>
      </c>
      <c r="AS25" s="1" t="str">
        <f>IF(AND($AQ23=$AQ25,$AR25&gt;$AR23),$AP23,$AP25)</f>
        <v>Serbia</v>
      </c>
      <c r="AT25" s="1">
        <f>VLOOKUP($AS25,$Z23:$AH26,9,FALSE)</f>
        <v>0</v>
      </c>
      <c r="AU25" s="1">
        <f>VLOOKUP($AS25,$Z23:$AH26,8,FALSE)</f>
        <v>0</v>
      </c>
      <c r="AV25" s="1" t="str">
        <f>IF(AND($AT24=$AT25,$AU25&gt;$AU24),$AS24,$AS25)</f>
        <v>Serbia</v>
      </c>
      <c r="AW25" s="1">
        <f>VLOOKUP($AV25,$Z23:$AH26,9,FALSE)</f>
        <v>0</v>
      </c>
      <c r="AX25" s="1">
        <f>VLOOKUP($AV25,$Z23:$AH26,8,FALSE)</f>
        <v>0</v>
      </c>
      <c r="AY25" s="1">
        <f>VLOOKUP($AV25,$Z23:$AH26,6,FALSE)</f>
        <v>0</v>
      </c>
      <c r="AZ25" s="1" t="str">
        <f>IF(AND($AW25=$AW26,$AX25=$AX26,$AY26&gt;$AY25),$AV26,$AV25)</f>
        <v>Serbia</v>
      </c>
      <c r="BA25" s="1">
        <f>VLOOKUP($AZ25,$Z23:$AH26,9,FALSE)</f>
        <v>0</v>
      </c>
      <c r="BB25" s="1">
        <f>VLOOKUP($AZ25,$Z23:$AH26,8,FALSE)</f>
        <v>0</v>
      </c>
      <c r="BC25" s="1">
        <f>VLOOKUP($AZ25,$Z23:$AH26,6,FALSE)</f>
        <v>0</v>
      </c>
      <c r="BD25" s="1" t="str">
        <f>IF(AND($BA23=$BA25,$BB23=$BB25,$BC25&gt;$BC23),$AZ23,$AZ25)</f>
        <v>Serbia</v>
      </c>
      <c r="BE25" s="1">
        <f>VLOOKUP($BD25,$Z23:$AH26,9,FALSE)</f>
        <v>0</v>
      </c>
      <c r="BF25" s="1">
        <f>VLOOKUP($BD25,$Z23:$AH26,8,FALSE)</f>
        <v>0</v>
      </c>
      <c r="BG25" s="1">
        <f>VLOOKUP($BD25,$Z23:$AH26,6,FALSE)</f>
        <v>0</v>
      </c>
      <c r="BH25" s="1" t="str">
        <f>IF(AND($BE24=$BE25,$BF24=$BF25,$BG25&gt;$BG24),$BD24,$BD25)</f>
        <v>Serbia</v>
      </c>
      <c r="BI25" s="1">
        <f>VLOOKUP($BH25,$Z23:$AH26,9,FALSE)</f>
        <v>0</v>
      </c>
      <c r="BJ25" s="1">
        <f>VLOOKUP($BH25,$Z23:$AH26,8,FALSE)</f>
        <v>0</v>
      </c>
      <c r="BK25" s="1">
        <f>VLOOKUP($BH25,$Z23:$AH26,6,FALSE)</f>
        <v>0</v>
      </c>
      <c r="BO25" s="1" t="str">
        <f>BH25</f>
        <v>Serbia</v>
      </c>
      <c r="BP25" s="1">
        <f>VLOOKUP($BO25,$Z23:$AH26,2,FALSE)</f>
        <v>0</v>
      </c>
      <c r="BQ25" s="1">
        <f>VLOOKUP($BO25,$Z23:$AH26,3,FALSE)</f>
        <v>0</v>
      </c>
      <c r="BR25" s="1">
        <f>VLOOKUP($BO25,$Z23:$AH26,4,FALSE)</f>
        <v>0</v>
      </c>
      <c r="BS25" s="1">
        <f>VLOOKUP($BO25,$Z23:$AH26,5,FALSE)</f>
        <v>0</v>
      </c>
      <c r="BT25" s="1">
        <f>VLOOKUP($BO25,$Z23:$AH26,6,FALSE)</f>
        <v>0</v>
      </c>
      <c r="BU25" s="1">
        <f>VLOOKUP($BO25,$Z23:$AH26,7,FALSE)</f>
        <v>0</v>
      </c>
      <c r="BV25" s="1">
        <f>VLOOKUP($BO25,$Z23:$AH26,8,FALSE)</f>
        <v>0</v>
      </c>
      <c r="BW25" s="1">
        <f>VLOOKUP($BO25,$Z23:$AH26,9,FALSE)</f>
        <v>0</v>
      </c>
    </row>
    <row r="26" spans="2:75" ht="15.75" thickBot="1">
      <c r="B26" s="20">
        <v>38518</v>
      </c>
      <c r="C26" s="21">
        <v>0.75</v>
      </c>
      <c r="D26" s="39">
        <f t="shared" si="4"/>
        <v>19</v>
      </c>
      <c r="E26" s="24" t="s">
        <v>32</v>
      </c>
      <c r="F26" s="42"/>
      <c r="G26" s="42"/>
      <c r="H26" s="1" t="s">
        <v>87</v>
      </c>
      <c r="I26" s="1" t="s">
        <v>97</v>
      </c>
      <c r="J26" s="22" t="s">
        <v>82</v>
      </c>
      <c r="K26" s="23" t="s">
        <v>36</v>
      </c>
      <c r="L26" s="1">
        <f t="shared" si="7"/>
      </c>
      <c r="M26" s="1">
        <f t="shared" si="8"/>
      </c>
      <c r="O26" s="44"/>
      <c r="P26" s="4" t="s">
        <v>55</v>
      </c>
      <c r="Q26" s="5"/>
      <c r="R26" s="5"/>
      <c r="S26" s="5"/>
      <c r="T26" s="5"/>
      <c r="U26" s="5"/>
      <c r="V26" s="5"/>
      <c r="W26" s="5"/>
      <c r="X26" s="6"/>
      <c r="Z26" s="1" t="s">
        <v>68</v>
      </c>
      <c r="AA26" s="1">
        <f>COUNT(Netherlands_Played)</f>
        <v>0</v>
      </c>
      <c r="AB26" s="1">
        <f>COUNTIF(Groupstage_Winners,"Netherlands")</f>
        <v>0</v>
      </c>
      <c r="AC26" s="1">
        <f>COUNTIF(Groupstage_Losers,"Netherlands")</f>
        <v>0</v>
      </c>
      <c r="AD26" s="1">
        <f>AA26-(AB26+AC26)</f>
        <v>0</v>
      </c>
      <c r="AE26" s="1">
        <f>SUM(Netherlands_Played)</f>
        <v>0</v>
      </c>
      <c r="AF26" s="1">
        <f>SUM(Netherlands_Against)</f>
        <v>0</v>
      </c>
      <c r="AG26" s="1">
        <f>AE26-AF26</f>
        <v>0</v>
      </c>
      <c r="AH26" s="1">
        <f>AB26*Winpoints+AD26*Drawpoints</f>
        <v>0</v>
      </c>
      <c r="AI26" s="1" t="str">
        <f>IF($AH26&lt;=$AH25,$Z26,$Z25)</f>
        <v>Netherlands</v>
      </c>
      <c r="AJ26" s="1">
        <f>VLOOKUP($AI26,$Z23:$AH26,9,FALSE)</f>
        <v>0</v>
      </c>
      <c r="AK26" s="1" t="str">
        <f>IF(AJ26&lt;=AJ24,AI26,AI24)</f>
        <v>Netherlands</v>
      </c>
      <c r="AL26" s="1">
        <f>VLOOKUP($AK26,$Z23:$AH26,9,FALSE)</f>
        <v>0</v>
      </c>
      <c r="AM26" s="1" t="str">
        <f>IF($AL26&lt;=$AL23,$AK26,$AK23)</f>
        <v>Netherlands</v>
      </c>
      <c r="AN26" s="1">
        <f>VLOOKUP($AM26,$Z23:$AH26,9,FALSE)</f>
        <v>0</v>
      </c>
      <c r="AO26" s="1">
        <f>VLOOKUP($AM26,$Z23:$AH26,8,FALSE)</f>
        <v>0</v>
      </c>
      <c r="AP26" s="1" t="str">
        <f>IF(AND($AN25=$AN26,$AO26&gt;$AO25),$AM25,$AM26)</f>
        <v>Netherlands</v>
      </c>
      <c r="AQ26" s="1">
        <f>VLOOKUP($AP26,$Z23:$AH26,9,FALSE)</f>
        <v>0</v>
      </c>
      <c r="AR26" s="1">
        <f>VLOOKUP($AP26,$Z23:$AH26,8,FALSE)</f>
        <v>0</v>
      </c>
      <c r="AS26" s="1" t="str">
        <f>IF(AND($AQ24=$AQ26,$AR26&gt;$AR24),$AP24,$AP26)</f>
        <v>Netherlands</v>
      </c>
      <c r="AT26" s="1">
        <f>VLOOKUP($AS26,$Z23:$AH26,9,FALSE)</f>
        <v>0</v>
      </c>
      <c r="AU26" s="1">
        <f>VLOOKUP($AS26,$Z23:$AH26,8,FALSE)</f>
        <v>0</v>
      </c>
      <c r="AV26" s="1" t="str">
        <f>IF(AND($AT23=$AT26,$AU26&gt;$AU23),$AS23,$AS26)</f>
        <v>Netherlands</v>
      </c>
      <c r="AW26" s="1">
        <f>VLOOKUP($AV26,$Z23:$AH26,9,FALSE)</f>
        <v>0</v>
      </c>
      <c r="AX26" s="1">
        <f>VLOOKUP($AV26,$Z23:$AH26,8,FALSE)</f>
        <v>0</v>
      </c>
      <c r="AY26" s="1">
        <f>VLOOKUP($AV26,$Z23:$AH26,6,FALSE)</f>
        <v>0</v>
      </c>
      <c r="AZ26" s="1" t="str">
        <f>IF(AND($AW25=$AW26,$AX25=$AX26,$AY26&gt;$AY25),$AV25,$AV26)</f>
        <v>Netherlands</v>
      </c>
      <c r="BA26" s="1">
        <f>VLOOKUP($AZ26,$Z23:$AH26,9,FALSE)</f>
        <v>0</v>
      </c>
      <c r="BB26" s="1">
        <f>VLOOKUP($AZ26,$Z23:$AH26,8,FALSE)</f>
        <v>0</v>
      </c>
      <c r="BC26" s="1">
        <f>VLOOKUP($AZ26,$Z23:$AH26,6,FALSE)</f>
        <v>0</v>
      </c>
      <c r="BD26" s="1" t="str">
        <f>IF(AND($BA24=$BA26,$BB24=$BB26,$BC26&gt;$BC24),$AZ24,$AZ26)</f>
        <v>Netherlands</v>
      </c>
      <c r="BE26" s="1">
        <f>VLOOKUP($BD26,$Z23:$AH26,9,FALSE)</f>
        <v>0</v>
      </c>
      <c r="BF26" s="1">
        <f>VLOOKUP($BD26,$Z23:$AH26,8,FALSE)</f>
        <v>0</v>
      </c>
      <c r="BG26" s="1">
        <f>VLOOKUP($BD26,$Z23:$AH26,6,FALSE)</f>
        <v>0</v>
      </c>
      <c r="BH26" s="1" t="str">
        <f>IF(AND($BE23=$BE26,$BF23=$BF26,$BG26&gt;$BG23),$BD23,$BD26)</f>
        <v>Netherlands</v>
      </c>
      <c r="BI26" s="1">
        <f>VLOOKUP($BH26,$Z23:$AH26,9,FALSE)</f>
        <v>0</v>
      </c>
      <c r="BJ26" s="1">
        <f>VLOOKUP($BH26,$Z23:$AH26,8,FALSE)</f>
        <v>0</v>
      </c>
      <c r="BK26" s="1">
        <f>VLOOKUP($BH26,$Z23:$AH26,6,FALSE)</f>
        <v>0</v>
      </c>
      <c r="BO26" s="1" t="str">
        <f>BH26</f>
        <v>Netherlands</v>
      </c>
      <c r="BP26" s="1">
        <f>VLOOKUP($BO26,$Z23:$AH26,2,FALSE)</f>
        <v>0</v>
      </c>
      <c r="BQ26" s="1">
        <f>VLOOKUP($BO26,$Z23:$AH26,3,FALSE)</f>
        <v>0</v>
      </c>
      <c r="BR26" s="1">
        <f>VLOOKUP($BO26,$Z23:$AH26,4,FALSE)</f>
        <v>0</v>
      </c>
      <c r="BS26" s="1">
        <f>VLOOKUP($BO26,$Z23:$AH26,5,FALSE)</f>
        <v>0</v>
      </c>
      <c r="BT26" s="1">
        <f>VLOOKUP($BO26,$Z23:$AH26,6,FALSE)</f>
        <v>0</v>
      </c>
      <c r="BU26" s="1">
        <f>VLOOKUP($BO26,$Z23:$AH26,7,FALSE)</f>
        <v>0</v>
      </c>
      <c r="BV26" s="1">
        <f>VLOOKUP($BO26,$Z23:$AH26,8,FALSE)</f>
        <v>0</v>
      </c>
      <c r="BW26" s="1">
        <f>VLOOKUP($BO26,$Z23:$AH26,9,FALSE)</f>
        <v>0</v>
      </c>
    </row>
    <row r="27" spans="2:24" ht="13.5" thickBot="1">
      <c r="B27" s="20">
        <v>38518</v>
      </c>
      <c r="C27" s="21">
        <v>0.875</v>
      </c>
      <c r="D27" s="39">
        <f t="shared" si="4"/>
        <v>20</v>
      </c>
      <c r="E27" s="24" t="s">
        <v>33</v>
      </c>
      <c r="F27" s="42"/>
      <c r="G27" s="42"/>
      <c r="H27" s="1" t="s">
        <v>35</v>
      </c>
      <c r="I27" s="1" t="s">
        <v>93</v>
      </c>
      <c r="J27" s="22" t="s">
        <v>85</v>
      </c>
      <c r="K27" s="23" t="s">
        <v>36</v>
      </c>
      <c r="L27" s="1">
        <f t="shared" si="7"/>
      </c>
      <c r="M27" s="1">
        <f t="shared" si="8"/>
      </c>
      <c r="O27" s="45" t="s">
        <v>106</v>
      </c>
      <c r="P27" s="41" t="s">
        <v>28</v>
      </c>
      <c r="Q27" s="11" t="s">
        <v>17</v>
      </c>
      <c r="R27" s="11" t="s">
        <v>18</v>
      </c>
      <c r="S27" s="11" t="s">
        <v>20</v>
      </c>
      <c r="T27" s="11" t="s">
        <v>19</v>
      </c>
      <c r="U27" s="11" t="s">
        <v>21</v>
      </c>
      <c r="V27" s="11" t="s">
        <v>22</v>
      </c>
      <c r="W27" s="11" t="s">
        <v>23</v>
      </c>
      <c r="X27" s="12" t="s">
        <v>24</v>
      </c>
    </row>
    <row r="28" spans="2:26" ht="13.5" thickBot="1">
      <c r="B28" s="20">
        <v>38519</v>
      </c>
      <c r="C28" s="21">
        <v>0.625</v>
      </c>
      <c r="D28" s="39">
        <f t="shared" si="4"/>
        <v>21</v>
      </c>
      <c r="E28" s="24" t="s">
        <v>37</v>
      </c>
      <c r="F28" s="42"/>
      <c r="G28" s="42"/>
      <c r="H28" s="1" t="s">
        <v>88</v>
      </c>
      <c r="I28" s="1" t="s">
        <v>101</v>
      </c>
      <c r="J28" s="22" t="s">
        <v>77</v>
      </c>
      <c r="K28" s="23" t="s">
        <v>43</v>
      </c>
      <c r="L28" s="1">
        <f t="shared" si="7"/>
      </c>
      <c r="M28" s="1">
        <f t="shared" si="8"/>
      </c>
      <c r="O28" s="43"/>
      <c r="P28" s="17" t="str">
        <f aca="true" t="shared" si="11" ref="P28:R31">BO30</f>
        <v>Mexico</v>
      </c>
      <c r="Q28" s="18">
        <f t="shared" si="11"/>
        <v>0</v>
      </c>
      <c r="R28" s="18">
        <f t="shared" si="11"/>
        <v>0</v>
      </c>
      <c r="S28" s="18">
        <f>BS30</f>
        <v>0</v>
      </c>
      <c r="T28" s="18">
        <f>BR30</f>
        <v>0</v>
      </c>
      <c r="U28" s="18">
        <f aca="true" t="shared" si="12" ref="U28:X31">BT30</f>
        <v>0</v>
      </c>
      <c r="V28" s="18">
        <f t="shared" si="12"/>
        <v>0</v>
      </c>
      <c r="W28" s="18">
        <f t="shared" si="12"/>
        <v>0</v>
      </c>
      <c r="X28" s="19">
        <f t="shared" si="12"/>
        <v>0</v>
      </c>
      <c r="Z28" s="1" t="s">
        <v>55</v>
      </c>
    </row>
    <row r="29" spans="2:34" ht="13.5" thickBot="1">
      <c r="B29" s="20">
        <v>38519</v>
      </c>
      <c r="C29" s="21">
        <v>0.75</v>
      </c>
      <c r="D29" s="39">
        <f t="shared" si="4"/>
        <v>22</v>
      </c>
      <c r="E29" s="24" t="s">
        <v>68</v>
      </c>
      <c r="F29" s="42"/>
      <c r="G29" s="42"/>
      <c r="H29" s="1" t="s">
        <v>67</v>
      </c>
      <c r="I29" s="1" t="s">
        <v>98</v>
      </c>
      <c r="J29" s="22" t="s">
        <v>86</v>
      </c>
      <c r="K29" s="23" t="s">
        <v>43</v>
      </c>
      <c r="L29" s="1">
        <f t="shared" si="7"/>
      </c>
      <c r="M29" s="1">
        <f t="shared" si="8"/>
      </c>
      <c r="O29" s="43"/>
      <c r="P29" s="17" t="str">
        <f t="shared" si="11"/>
        <v>Iran</v>
      </c>
      <c r="Q29" s="18">
        <f t="shared" si="11"/>
        <v>0</v>
      </c>
      <c r="R29" s="18">
        <f t="shared" si="11"/>
        <v>0</v>
      </c>
      <c r="S29" s="18">
        <f>BS31</f>
        <v>0</v>
      </c>
      <c r="T29" s="18">
        <f>BR31</f>
        <v>0</v>
      </c>
      <c r="U29" s="18">
        <f t="shared" si="12"/>
        <v>0</v>
      </c>
      <c r="V29" s="18">
        <f t="shared" si="12"/>
        <v>0</v>
      </c>
      <c r="W29" s="18">
        <f t="shared" si="12"/>
        <v>0</v>
      </c>
      <c r="X29" s="19">
        <f t="shared" si="12"/>
        <v>0</v>
      </c>
      <c r="AA29" s="1" t="s">
        <v>26</v>
      </c>
      <c r="AB29" s="1" t="s">
        <v>18</v>
      </c>
      <c r="AC29" s="1" t="s">
        <v>19</v>
      </c>
      <c r="AD29" s="1" t="s">
        <v>20</v>
      </c>
      <c r="AE29" s="1" t="s">
        <v>21</v>
      </c>
      <c r="AF29" s="1" t="s">
        <v>22</v>
      </c>
      <c r="AG29" s="1" t="s">
        <v>23</v>
      </c>
      <c r="AH29" s="1" t="s">
        <v>27</v>
      </c>
    </row>
    <row r="30" spans="2:75" ht="13.5" thickBot="1">
      <c r="B30" s="20">
        <v>38519</v>
      </c>
      <c r="C30" s="21">
        <v>0.875</v>
      </c>
      <c r="D30" s="39">
        <f t="shared" si="4"/>
        <v>23</v>
      </c>
      <c r="E30" s="24" t="s">
        <v>40</v>
      </c>
      <c r="F30" s="42"/>
      <c r="G30" s="42"/>
      <c r="H30" s="1" t="s">
        <v>69</v>
      </c>
      <c r="I30" s="1" t="s">
        <v>103</v>
      </c>
      <c r="J30" s="22" t="s">
        <v>84</v>
      </c>
      <c r="K30" s="23" t="s">
        <v>20</v>
      </c>
      <c r="L30" s="1">
        <f t="shared" si="7"/>
      </c>
      <c r="M30" s="1">
        <f t="shared" si="8"/>
      </c>
      <c r="O30" s="43"/>
      <c r="P30" s="17" t="str">
        <f t="shared" si="11"/>
        <v>Angola</v>
      </c>
      <c r="Q30" s="18">
        <f t="shared" si="11"/>
        <v>0</v>
      </c>
      <c r="R30" s="18">
        <f t="shared" si="11"/>
        <v>0</v>
      </c>
      <c r="S30" s="18">
        <f>BS32</f>
        <v>0</v>
      </c>
      <c r="T30" s="18">
        <f>BR32</f>
        <v>0</v>
      </c>
      <c r="U30" s="18">
        <f t="shared" si="12"/>
        <v>0</v>
      </c>
      <c r="V30" s="18">
        <f t="shared" si="12"/>
        <v>0</v>
      </c>
      <c r="W30" s="18">
        <f t="shared" si="12"/>
        <v>0</v>
      </c>
      <c r="X30" s="19">
        <f t="shared" si="12"/>
        <v>0</v>
      </c>
      <c r="Z30" s="1" t="s">
        <v>40</v>
      </c>
      <c r="AA30" s="1">
        <f>COUNT(Mexico_Played)</f>
        <v>0</v>
      </c>
      <c r="AB30" s="1">
        <f>COUNTIF(Groupstage_Winners,"Mexico")</f>
        <v>0</v>
      </c>
      <c r="AC30" s="1">
        <f>COUNTIF(Groupstage_Losers,"Mexico")</f>
        <v>0</v>
      </c>
      <c r="AD30" s="1">
        <f>AA30-(AB30+AC30)</f>
        <v>0</v>
      </c>
      <c r="AE30" s="1">
        <f>SUM(Mexico_Played)</f>
        <v>0</v>
      </c>
      <c r="AF30" s="1">
        <f>SUM(Mexico_Against)</f>
        <v>0</v>
      </c>
      <c r="AG30" s="1">
        <f>AE30-AF30</f>
        <v>0</v>
      </c>
      <c r="AH30" s="1">
        <f>AB30*Winpoints+AD30*Drawpoints</f>
        <v>0</v>
      </c>
      <c r="AI30" s="1" t="str">
        <f>IF($AH30&gt;=$AH31,$Z30,$Z31)</f>
        <v>Mexico</v>
      </c>
      <c r="AJ30" s="1">
        <f>VLOOKUP($AI30,$Z30:$AH33,9,FALSE)</f>
        <v>0</v>
      </c>
      <c r="AK30" s="1" t="str">
        <f>IF($AJ30&gt;=$AJ32,$AI30,$AI32)</f>
        <v>Mexico</v>
      </c>
      <c r="AL30" s="1">
        <f>VLOOKUP($AK30,$Z30:$AH33,9,FALSE)</f>
        <v>0</v>
      </c>
      <c r="AM30" s="1" t="str">
        <f>IF($AL30&gt;=$AL33,$AK30,$AK33)</f>
        <v>Mexico</v>
      </c>
      <c r="AN30" s="1">
        <f>VLOOKUP($AM30,$Z30:$AH33,9,FALSE)</f>
        <v>0</v>
      </c>
      <c r="AO30" s="1">
        <f>VLOOKUP($AM30,$Z30:$AH33,8,FALSE)</f>
        <v>0</v>
      </c>
      <c r="AP30" s="1" t="str">
        <f>IF(AND($AN30=$AN31,$AO31&gt;$AO30),$AM31,$AM30)</f>
        <v>Mexico</v>
      </c>
      <c r="AQ30" s="1">
        <f>VLOOKUP($AP30,$Z30:$AH33,9,FALSE)</f>
        <v>0</v>
      </c>
      <c r="AR30" s="1">
        <f>VLOOKUP($AP30,$Z30:$AH33,8,FALSE)</f>
        <v>0</v>
      </c>
      <c r="AS30" s="1" t="str">
        <f>IF(AND($AQ30=$AQ32,$AR32&gt;$AR30),$AP32,$AP30)</f>
        <v>Mexico</v>
      </c>
      <c r="AT30" s="1">
        <f>VLOOKUP($AS30,$Z30:$AH33,9,FALSE)</f>
        <v>0</v>
      </c>
      <c r="AU30" s="1">
        <f>VLOOKUP($AS30,$Z30:$AH33,8,FALSE)</f>
        <v>0</v>
      </c>
      <c r="AV30" s="1" t="str">
        <f>IF(AND($AT30=$AT33,$AU33&gt;$AU30),$AS33,$AS30)</f>
        <v>Mexico</v>
      </c>
      <c r="AW30" s="1">
        <f>VLOOKUP($AV30,$Z30:$AH33,9,FALSE)</f>
        <v>0</v>
      </c>
      <c r="AX30" s="1">
        <f>VLOOKUP($AV30,$Z30:$AH33,8,FALSE)</f>
        <v>0</v>
      </c>
      <c r="AY30" s="1">
        <f>VLOOKUP($AV30,$Z30:$AH33,6,FALSE)</f>
        <v>0</v>
      </c>
      <c r="AZ30" s="1" t="str">
        <f>IF(AND($AW30=$AW31,$AX30=$AX31,$AY31&gt;$AY30),$AV31,$AV30)</f>
        <v>Mexico</v>
      </c>
      <c r="BA30" s="1">
        <f>VLOOKUP($AZ30,$Z30:$AH33,9,FALSE)</f>
        <v>0</v>
      </c>
      <c r="BB30" s="1">
        <f>VLOOKUP($AZ30,$Z30:$AH33,8,FALSE)</f>
        <v>0</v>
      </c>
      <c r="BC30" s="1">
        <f>VLOOKUP($AZ30,$Z30:$AH33,6,FALSE)</f>
        <v>0</v>
      </c>
      <c r="BD30" s="1" t="str">
        <f>IF(AND($BA30=$BA32,$BB30=$BB32,$BC32&gt;$BC30),$AZ32,$AZ30)</f>
        <v>Mexico</v>
      </c>
      <c r="BE30" s="1">
        <f>VLOOKUP($BD30,$Z30:$AH33,9,FALSE)</f>
        <v>0</v>
      </c>
      <c r="BF30" s="1">
        <f>VLOOKUP($BD30,$Z30:$AH33,8,FALSE)</f>
        <v>0</v>
      </c>
      <c r="BG30" s="1">
        <f>VLOOKUP($BD30,$Z30:$AH33,6,FALSE)</f>
        <v>0</v>
      </c>
      <c r="BH30" s="1" t="str">
        <f>IF(AND($BE30=$BE33,$BF30=$BF33,$BG33&gt;$BG30),$BD33,$BD30)</f>
        <v>Mexico</v>
      </c>
      <c r="BI30" s="1">
        <f>VLOOKUP($BH30,$Z30:$AH33,9,FALSE)</f>
        <v>0</v>
      </c>
      <c r="BJ30" s="1">
        <f>VLOOKUP($BH30,$Z30:$AH33,8,FALSE)</f>
        <v>0</v>
      </c>
      <c r="BK30" s="1">
        <f>VLOOKUP($BH30,$Z30:$AH33,6,FALSE)</f>
        <v>0</v>
      </c>
      <c r="BO30" s="1" t="str">
        <f>BH30</f>
        <v>Mexico</v>
      </c>
      <c r="BP30" s="1">
        <f>VLOOKUP($BO30,$Z30:$AH33,2,FALSE)</f>
        <v>0</v>
      </c>
      <c r="BQ30" s="1">
        <f>VLOOKUP($BO30,$Z30:$AH33,3,FALSE)</f>
        <v>0</v>
      </c>
      <c r="BR30" s="1">
        <f>VLOOKUP($BO30,$Z30:$AH33,4,FALSE)</f>
        <v>0</v>
      </c>
      <c r="BS30" s="1">
        <f>VLOOKUP($BO30,$Z30:$AH33,5,FALSE)</f>
        <v>0</v>
      </c>
      <c r="BT30" s="1">
        <f>VLOOKUP($BO30,$Z30:$AH33,6,FALSE)</f>
        <v>0</v>
      </c>
      <c r="BU30" s="1">
        <f>VLOOKUP($BO30,$Z30:$AH33,7,FALSE)</f>
        <v>0</v>
      </c>
      <c r="BV30" s="1">
        <f>VLOOKUP($BO30,$Z30:$AH33,8,FALSE)</f>
        <v>0</v>
      </c>
      <c r="BW30" s="1">
        <f>VLOOKUP($BO30,$Z30:$AH33,9,FALSE)</f>
        <v>0</v>
      </c>
    </row>
    <row r="31" spans="2:75" ht="13.5" thickBot="1">
      <c r="B31" s="20">
        <v>38520</v>
      </c>
      <c r="C31" s="21">
        <v>0.625</v>
      </c>
      <c r="D31" s="39">
        <f t="shared" si="4"/>
        <v>24</v>
      </c>
      <c r="E31" s="24" t="s">
        <v>54</v>
      </c>
      <c r="F31" s="42"/>
      <c r="G31" s="42"/>
      <c r="H31" s="1" t="s">
        <v>70</v>
      </c>
      <c r="I31" s="1" t="s">
        <v>95</v>
      </c>
      <c r="J31" s="22" t="s">
        <v>78</v>
      </c>
      <c r="K31" s="23" t="s">
        <v>20</v>
      </c>
      <c r="L31" s="1">
        <f t="shared" si="7"/>
      </c>
      <c r="M31" s="1">
        <f t="shared" si="8"/>
      </c>
      <c r="O31" s="43"/>
      <c r="P31" s="25" t="str">
        <f t="shared" si="11"/>
        <v>Portugal</v>
      </c>
      <c r="Q31" s="26">
        <f t="shared" si="11"/>
        <v>0</v>
      </c>
      <c r="R31" s="26">
        <f t="shared" si="11"/>
        <v>0</v>
      </c>
      <c r="S31" s="26">
        <f>BS33</f>
        <v>0</v>
      </c>
      <c r="T31" s="26">
        <f>BR33</f>
        <v>0</v>
      </c>
      <c r="U31" s="26">
        <f t="shared" si="12"/>
        <v>0</v>
      </c>
      <c r="V31" s="26">
        <f t="shared" si="12"/>
        <v>0</v>
      </c>
      <c r="W31" s="26">
        <f t="shared" si="12"/>
        <v>0</v>
      </c>
      <c r="X31" s="27">
        <f t="shared" si="12"/>
        <v>0</v>
      </c>
      <c r="Z31" s="1" t="s">
        <v>70</v>
      </c>
      <c r="AA31" s="1">
        <f>COUNT(Iran_Played)</f>
        <v>0</v>
      </c>
      <c r="AB31" s="1">
        <f>COUNTIF(Groupstage_Winners,"Iran")</f>
        <v>0</v>
      </c>
      <c r="AC31" s="1">
        <f>COUNTIF(Groupstage_Losers,"Iran")</f>
        <v>0</v>
      </c>
      <c r="AD31" s="1">
        <f>AA31-(AB31+AC31)</f>
        <v>0</v>
      </c>
      <c r="AE31" s="1">
        <f>SUM(Iran_Played)</f>
        <v>0</v>
      </c>
      <c r="AF31" s="1">
        <f>SUM(Iran_Against)</f>
        <v>0</v>
      </c>
      <c r="AG31" s="1">
        <f>AE31-AF31</f>
        <v>0</v>
      </c>
      <c r="AH31" s="1">
        <f>AB31*Winpoints+AD31*Drawpoints</f>
        <v>0</v>
      </c>
      <c r="AI31" s="1" t="str">
        <f>IF($AH31&lt;=$AH30,$Z31,$Z30)</f>
        <v>Iran</v>
      </c>
      <c r="AJ31" s="1">
        <f>VLOOKUP($AI31,$Z30:$AH33,9,FALSE)</f>
        <v>0</v>
      </c>
      <c r="AK31" s="1" t="str">
        <f>IF(AJ31&gt;=AJ33,AI31,AI33)</f>
        <v>Iran</v>
      </c>
      <c r="AL31" s="1">
        <f>VLOOKUP($AK31,$Z30:$AH33,9,FALSE)</f>
        <v>0</v>
      </c>
      <c r="AM31" s="1" t="str">
        <f>IF($AL31&gt;=$AL32,$AK31,$AK32)</f>
        <v>Iran</v>
      </c>
      <c r="AN31" s="1">
        <f>VLOOKUP($AM31,$Z30:$AH33,9,FALSE)</f>
        <v>0</v>
      </c>
      <c r="AO31" s="1">
        <f>VLOOKUP($AM31,$Z30:$AH33,8,FALSE)</f>
        <v>0</v>
      </c>
      <c r="AP31" s="1" t="str">
        <f>IF(AND($AN30=$AN31,$AO31&gt;$AO30),$AM30,$AM31)</f>
        <v>Iran</v>
      </c>
      <c r="AQ31" s="1">
        <f>VLOOKUP($AP31,$Z30:$AH33,9,FALSE)</f>
        <v>0</v>
      </c>
      <c r="AR31" s="1">
        <f>VLOOKUP($AP31,$Z30:$AH33,8,FALSE)</f>
        <v>0</v>
      </c>
      <c r="AS31" s="1" t="str">
        <f>IF(AND($AQ31=$AQ33,$AR33&gt;$AR31),$AP33,$AP31)</f>
        <v>Iran</v>
      </c>
      <c r="AT31" s="1">
        <f>VLOOKUP($AS31,$Z30:$AH33,9,FALSE)</f>
        <v>0</v>
      </c>
      <c r="AU31" s="1">
        <f>VLOOKUP($AS31,$Z30:$AH33,8,FALSE)</f>
        <v>0</v>
      </c>
      <c r="AV31" s="1" t="str">
        <f>IF(AND($AT31=$AT32,$AU32&gt;$AU31),$AS32,$AS31)</f>
        <v>Iran</v>
      </c>
      <c r="AW31" s="1">
        <f>VLOOKUP($AV31,$Z30:$AH33,9,FALSE)</f>
        <v>0</v>
      </c>
      <c r="AX31" s="1">
        <f>VLOOKUP($AV31,$Z30:$AH33,8,FALSE)</f>
        <v>0</v>
      </c>
      <c r="AY31" s="1">
        <f>VLOOKUP($AV31,$Z30:$AH33,6,FALSE)</f>
        <v>0</v>
      </c>
      <c r="AZ31" s="1" t="str">
        <f>IF(AND($AW30=$AW31,$AX30=$AX31,$AY31&gt;$AY30),$AV30,$AV31)</f>
        <v>Iran</v>
      </c>
      <c r="BA31" s="1">
        <f>VLOOKUP($AZ31,$Z30:$AH33,9,FALSE)</f>
        <v>0</v>
      </c>
      <c r="BB31" s="1">
        <f>VLOOKUP($AZ31,$Z30:$AH33,8,FALSE)</f>
        <v>0</v>
      </c>
      <c r="BC31" s="1">
        <f>VLOOKUP($AZ31,$Z30:$AH33,6,FALSE)</f>
        <v>0</v>
      </c>
      <c r="BD31" s="1" t="str">
        <f>IF(AND($BA31=$BA33,$BB31=$BB33,$BC33&gt;$BC31),$AZ33,$AZ31)</f>
        <v>Iran</v>
      </c>
      <c r="BE31" s="1">
        <f>VLOOKUP($BD31,$Z30:$AH33,9,FALSE)</f>
        <v>0</v>
      </c>
      <c r="BF31" s="1">
        <f>VLOOKUP($BD31,$Z30:$AH33,8,FALSE)</f>
        <v>0</v>
      </c>
      <c r="BG31" s="1">
        <f>VLOOKUP($BD31,$Z30:$AH33,6,FALSE)</f>
        <v>0</v>
      </c>
      <c r="BH31" s="1" t="str">
        <f>IF(AND($BE31=$BE32,$BF31=$BF32,$BG32&gt;$BG31),$BD32,$BD31)</f>
        <v>Iran</v>
      </c>
      <c r="BI31" s="1">
        <f>VLOOKUP($BH31,$Z30:$AH33,9,FALSE)</f>
        <v>0</v>
      </c>
      <c r="BJ31" s="1">
        <f>VLOOKUP($BH31,$Z30:$AH33,8,FALSE)</f>
        <v>0</v>
      </c>
      <c r="BK31" s="1">
        <f>VLOOKUP($BH31,$Z30:$AH33,6,FALSE)</f>
        <v>0</v>
      </c>
      <c r="BO31" s="1" t="str">
        <f>BH31</f>
        <v>Iran</v>
      </c>
      <c r="BP31" s="1">
        <f>VLOOKUP($BO31,$Z30:$AH33,2,FALSE)</f>
        <v>0</v>
      </c>
      <c r="BQ31" s="1">
        <f>VLOOKUP($BO31,$Z30:$AH33,3,FALSE)</f>
        <v>0</v>
      </c>
      <c r="BR31" s="1">
        <f>VLOOKUP($BO31,$Z30:$AH33,4,FALSE)</f>
        <v>0</v>
      </c>
      <c r="BS31" s="1">
        <f>VLOOKUP($BO31,$Z30:$AH33,5,FALSE)</f>
        <v>0</v>
      </c>
      <c r="BT31" s="1">
        <f>VLOOKUP($BO31,$Z30:$AH33,6,FALSE)</f>
        <v>0</v>
      </c>
      <c r="BU31" s="1">
        <f>VLOOKUP($BO31,$Z30:$AH33,7,FALSE)</f>
        <v>0</v>
      </c>
      <c r="BV31" s="1">
        <f>VLOOKUP($BO31,$Z30:$AH33,8,FALSE)</f>
        <v>0</v>
      </c>
      <c r="BW31" s="1">
        <f>VLOOKUP($BO31,$Z30:$AH33,9,FALSE)</f>
        <v>0</v>
      </c>
    </row>
    <row r="32" spans="2:75" ht="13.5" thickBot="1">
      <c r="B32" s="20">
        <v>38520</v>
      </c>
      <c r="C32" s="21">
        <v>0.875</v>
      </c>
      <c r="D32" s="39">
        <f t="shared" si="4"/>
        <v>25</v>
      </c>
      <c r="E32" s="24" t="s">
        <v>44</v>
      </c>
      <c r="F32" s="42"/>
      <c r="G32" s="42"/>
      <c r="H32" s="1" t="s">
        <v>53</v>
      </c>
      <c r="I32" s="1" t="s">
        <v>96</v>
      </c>
      <c r="J32" s="22" t="s">
        <v>90</v>
      </c>
      <c r="K32" s="23" t="s">
        <v>29</v>
      </c>
      <c r="L32" s="1">
        <f t="shared" si="7"/>
      </c>
      <c r="M32" s="1">
        <f t="shared" si="8"/>
      </c>
      <c r="Z32" s="1" t="s">
        <v>69</v>
      </c>
      <c r="AA32" s="1">
        <f>COUNT(Angola_Played)</f>
        <v>0</v>
      </c>
      <c r="AB32" s="1">
        <f>COUNTIF(Groupstage_Winners,"Angola")</f>
        <v>0</v>
      </c>
      <c r="AC32" s="1">
        <f>COUNTIF(Groupstage_Losers,"Angola")</f>
        <v>0</v>
      </c>
      <c r="AD32" s="1">
        <f>AA32-(AB32+AC32)</f>
        <v>0</v>
      </c>
      <c r="AE32" s="1">
        <f>SUM(Angola_Played)</f>
        <v>0</v>
      </c>
      <c r="AF32" s="1">
        <f>SUM(Angola_Against)</f>
        <v>0</v>
      </c>
      <c r="AG32" s="1">
        <f>AE32-AF32</f>
        <v>0</v>
      </c>
      <c r="AH32" s="1">
        <f>AB32*Winpoints+AD32*Drawpoints</f>
        <v>0</v>
      </c>
      <c r="AI32" s="1" t="str">
        <f>IF($AH32&gt;=$AH33,$Z32,$Z33)</f>
        <v>Angola</v>
      </c>
      <c r="AJ32" s="1">
        <f>VLOOKUP($AI32,$Z30:$AH33,9,FALSE)</f>
        <v>0</v>
      </c>
      <c r="AK32" s="1" t="str">
        <f>IF($AJ32&lt;=$AJ30,$AI32,$AI30)</f>
        <v>Angola</v>
      </c>
      <c r="AL32" s="1">
        <f>VLOOKUP($AK32,$Z30:$AH33,9,FALSE)</f>
        <v>0</v>
      </c>
      <c r="AM32" s="1" t="str">
        <f>IF($AL32&lt;=$AL31,$AK32,$AK31)</f>
        <v>Angola</v>
      </c>
      <c r="AN32" s="1">
        <f>VLOOKUP($AM32,$Z30:$AH33,9,FALSE)</f>
        <v>0</v>
      </c>
      <c r="AO32" s="1">
        <f>VLOOKUP($AM32,$Z30:$AH33,8,FALSE)</f>
        <v>0</v>
      </c>
      <c r="AP32" s="1" t="str">
        <f>IF(AND($AN32=$AN33,$AO33&gt;$AO32),$AM33,$AM32)</f>
        <v>Angola</v>
      </c>
      <c r="AQ32" s="1">
        <f>VLOOKUP($AP32,$Z30:$AH33,9,FALSE)</f>
        <v>0</v>
      </c>
      <c r="AR32" s="1">
        <f>VLOOKUP($AP32,$Z30:$AH33,8,FALSE)</f>
        <v>0</v>
      </c>
      <c r="AS32" s="1" t="str">
        <f>IF(AND($AQ30=$AQ32,$AR32&gt;$AR30),$AP30,$AP32)</f>
        <v>Angola</v>
      </c>
      <c r="AT32" s="1">
        <f>VLOOKUP($AS32,$Z30:$AH33,9,FALSE)</f>
        <v>0</v>
      </c>
      <c r="AU32" s="1">
        <f>VLOOKUP($AS32,$Z30:$AH33,8,FALSE)</f>
        <v>0</v>
      </c>
      <c r="AV32" s="1" t="str">
        <f>IF(AND($AT31=$AT32,$AU32&gt;$AU31),$AS31,$AS32)</f>
        <v>Angola</v>
      </c>
      <c r="AW32" s="1">
        <f>VLOOKUP($AV32,$Z30:$AH33,9,FALSE)</f>
        <v>0</v>
      </c>
      <c r="AX32" s="1">
        <f>VLOOKUP($AV32,$Z30:$AH33,8,FALSE)</f>
        <v>0</v>
      </c>
      <c r="AY32" s="1">
        <f>VLOOKUP($AV32,$Z30:$AH33,6,FALSE)</f>
        <v>0</v>
      </c>
      <c r="AZ32" s="1" t="str">
        <f>IF(AND($AW32=$AW33,$AX32=$AX33,$AY33&gt;$AY32),$AV33,$AV32)</f>
        <v>Angola</v>
      </c>
      <c r="BA32" s="1">
        <f>VLOOKUP($AZ32,$Z30:$AH33,9,FALSE)</f>
        <v>0</v>
      </c>
      <c r="BB32" s="1">
        <f>VLOOKUP($AZ32,$Z30:$AH33,8,FALSE)</f>
        <v>0</v>
      </c>
      <c r="BC32" s="1">
        <f>VLOOKUP($AZ32,$Z30:$AH33,6,FALSE)</f>
        <v>0</v>
      </c>
      <c r="BD32" s="1" t="str">
        <f>IF(AND($BA30=$BA32,$BB30=$BB32,$BC32&gt;$BC30),$AZ30,$AZ32)</f>
        <v>Angola</v>
      </c>
      <c r="BE32" s="1">
        <f>VLOOKUP($BD32,$Z30:$AH33,9,FALSE)</f>
        <v>0</v>
      </c>
      <c r="BF32" s="1">
        <f>VLOOKUP($BD32,$Z30:$AH33,8,FALSE)</f>
        <v>0</v>
      </c>
      <c r="BG32" s="1">
        <f>VLOOKUP($BD32,$Z30:$AH33,6,FALSE)</f>
        <v>0</v>
      </c>
      <c r="BH32" s="1" t="str">
        <f>IF(AND($BE31=$BE32,$BF31=$BF32,$BG32&gt;$BG31),$BD31,$BD32)</f>
        <v>Angola</v>
      </c>
      <c r="BI32" s="1">
        <f>VLOOKUP($BH32,$Z30:$AH33,9,FALSE)</f>
        <v>0</v>
      </c>
      <c r="BJ32" s="1">
        <f>VLOOKUP($BH32,$Z30:$AH33,8,FALSE)</f>
        <v>0</v>
      </c>
      <c r="BK32" s="1">
        <f>VLOOKUP($BH32,$Z30:$AH33,6,FALSE)</f>
        <v>0</v>
      </c>
      <c r="BO32" s="1" t="str">
        <f>BH32</f>
        <v>Angola</v>
      </c>
      <c r="BP32" s="1">
        <f>VLOOKUP($BO32,$Z30:$AH33,2,FALSE)</f>
        <v>0</v>
      </c>
      <c r="BQ32" s="1">
        <f>VLOOKUP($BO32,$Z30:$AH33,3,FALSE)</f>
        <v>0</v>
      </c>
      <c r="BR32" s="1">
        <f>VLOOKUP($BO32,$Z30:$AH33,4,FALSE)</f>
        <v>0</v>
      </c>
      <c r="BS32" s="1">
        <f>VLOOKUP($BO32,$Z30:$AH33,5,FALSE)</f>
        <v>0</v>
      </c>
      <c r="BT32" s="1">
        <f>VLOOKUP($BO32,$Z30:$AH33,6,FALSE)</f>
        <v>0</v>
      </c>
      <c r="BU32" s="1">
        <f>VLOOKUP($BO32,$Z30:$AH33,7,FALSE)</f>
        <v>0</v>
      </c>
      <c r="BV32" s="1">
        <f>VLOOKUP($BO32,$Z30:$AH33,8,FALSE)</f>
        <v>0</v>
      </c>
      <c r="BW32" s="1">
        <f>VLOOKUP($BO32,$Z30:$AH33,9,FALSE)</f>
        <v>0</v>
      </c>
    </row>
    <row r="33" spans="2:75" ht="13.5" thickBot="1">
      <c r="B33" s="20">
        <v>38520</v>
      </c>
      <c r="C33" s="21">
        <v>0.75</v>
      </c>
      <c r="D33" s="39">
        <f t="shared" si="4"/>
        <v>26</v>
      </c>
      <c r="E33" s="24" t="s">
        <v>89</v>
      </c>
      <c r="F33" s="42"/>
      <c r="G33" s="42"/>
      <c r="H33" s="1" t="s">
        <v>71</v>
      </c>
      <c r="I33" s="1" t="s">
        <v>104</v>
      </c>
      <c r="J33" s="22" t="s">
        <v>83</v>
      </c>
      <c r="K33" s="23" t="s">
        <v>29</v>
      </c>
      <c r="L33" s="1">
        <f t="shared" si="7"/>
      </c>
      <c r="M33" s="1">
        <f t="shared" si="8"/>
      </c>
      <c r="Z33" s="1" t="s">
        <v>54</v>
      </c>
      <c r="AA33" s="1">
        <f>COUNT(Portugal_Played)</f>
        <v>0</v>
      </c>
      <c r="AB33" s="1">
        <f>COUNTIF(Groupstage_Winners,"Portugal")</f>
        <v>0</v>
      </c>
      <c r="AC33" s="1">
        <f>COUNTIF(Groupstage_Losers,"Portugal")</f>
        <v>0</v>
      </c>
      <c r="AD33" s="1">
        <f>AA33-(AB33+AC33)</f>
        <v>0</v>
      </c>
      <c r="AE33" s="1">
        <f>SUM(Portugal_Played)</f>
        <v>0</v>
      </c>
      <c r="AF33" s="1">
        <f>SUM(Portugal_Against)</f>
        <v>0</v>
      </c>
      <c r="AG33" s="1">
        <f>AE33-AF33</f>
        <v>0</v>
      </c>
      <c r="AH33" s="1">
        <f>AB33*Winpoints+AD33*Drawpoints</f>
        <v>0</v>
      </c>
      <c r="AI33" s="1" t="str">
        <f>IF($AH33&lt;=$AH32,$Z33,$Z32)</f>
        <v>Portugal</v>
      </c>
      <c r="AJ33" s="1">
        <f>VLOOKUP($AI33,$Z30:$AH33,9,FALSE)</f>
        <v>0</v>
      </c>
      <c r="AK33" s="1" t="str">
        <f>IF(AJ33&lt;=AJ31,AI33,AI31)</f>
        <v>Portugal</v>
      </c>
      <c r="AL33" s="1">
        <f>VLOOKUP($AK33,$Z30:$AH33,9,FALSE)</f>
        <v>0</v>
      </c>
      <c r="AM33" s="1" t="str">
        <f>IF($AL33&lt;=$AL30,$AK33,$AK30)</f>
        <v>Portugal</v>
      </c>
      <c r="AN33" s="1">
        <f>VLOOKUP($AM33,$Z30:$AH33,9,FALSE)</f>
        <v>0</v>
      </c>
      <c r="AO33" s="1">
        <f>VLOOKUP($AM33,$Z30:$AH33,8,FALSE)</f>
        <v>0</v>
      </c>
      <c r="AP33" s="1" t="str">
        <f>IF(AND($AN32=$AN33,$AO33&gt;$AO32),$AM32,$AM33)</f>
        <v>Portugal</v>
      </c>
      <c r="AQ33" s="1">
        <f>VLOOKUP($AP33,$Z30:$AH33,9,FALSE)</f>
        <v>0</v>
      </c>
      <c r="AR33" s="1">
        <f>VLOOKUP($AP33,$Z30:$AH33,8,FALSE)</f>
        <v>0</v>
      </c>
      <c r="AS33" s="1" t="str">
        <f>IF(AND($AQ31=$AQ33,$AR33&gt;$AR31),$AP31,$AP33)</f>
        <v>Portugal</v>
      </c>
      <c r="AT33" s="1">
        <f>VLOOKUP($AS33,$Z30:$AH33,9,FALSE)</f>
        <v>0</v>
      </c>
      <c r="AU33" s="1">
        <f>VLOOKUP($AS33,$Z30:$AH33,8,FALSE)</f>
        <v>0</v>
      </c>
      <c r="AV33" s="1" t="str">
        <f>IF(AND($AT30=$AT33,$AU33&gt;$AU30),$AS30,$AS33)</f>
        <v>Portugal</v>
      </c>
      <c r="AW33" s="1">
        <f>VLOOKUP($AV33,$Z30:$AH33,9,FALSE)</f>
        <v>0</v>
      </c>
      <c r="AX33" s="1">
        <f>VLOOKUP($AV33,$Z30:$AH33,8,FALSE)</f>
        <v>0</v>
      </c>
      <c r="AY33" s="1">
        <f>VLOOKUP($AV33,$Z30:$AH33,6,FALSE)</f>
        <v>0</v>
      </c>
      <c r="AZ33" s="1" t="str">
        <f>IF(AND($AW32=$AW33,$AX32=$AX33,$AY33&gt;$AY32),$AV32,$AV33)</f>
        <v>Portugal</v>
      </c>
      <c r="BA33" s="1">
        <f>VLOOKUP($AZ33,$Z30:$AH33,9,FALSE)</f>
        <v>0</v>
      </c>
      <c r="BB33" s="1">
        <f>VLOOKUP($AZ33,$Z30:$AH33,8,FALSE)</f>
        <v>0</v>
      </c>
      <c r="BC33" s="1">
        <f>VLOOKUP($AZ33,$Z30:$AH33,6,FALSE)</f>
        <v>0</v>
      </c>
      <c r="BD33" s="1" t="str">
        <f>IF(AND($BA31=$BA33,$BB31=$BB33,$BC33&gt;$BC31),$AZ31,$AZ33)</f>
        <v>Portugal</v>
      </c>
      <c r="BE33" s="1">
        <f>VLOOKUP($BD33,$Z30:$AH33,9,FALSE)</f>
        <v>0</v>
      </c>
      <c r="BF33" s="1">
        <f>VLOOKUP($BD33,$Z30:$AH33,8,FALSE)</f>
        <v>0</v>
      </c>
      <c r="BG33" s="1">
        <f>VLOOKUP($BD33,$Z30:$AH33,6,FALSE)</f>
        <v>0</v>
      </c>
      <c r="BH33" s="1" t="str">
        <f>IF(AND($BE30=$BE33,$BF30=$BF33,$BG33&gt;$BG30),$BD30,$BD33)</f>
        <v>Portugal</v>
      </c>
      <c r="BI33" s="1">
        <f>VLOOKUP($BH33,$Z30:$AH33,9,FALSE)</f>
        <v>0</v>
      </c>
      <c r="BJ33" s="1">
        <f>VLOOKUP($BH33,$Z30:$AH33,8,FALSE)</f>
        <v>0</v>
      </c>
      <c r="BK33" s="1">
        <f>VLOOKUP($BH33,$Z30:$AH33,6,FALSE)</f>
        <v>0</v>
      </c>
      <c r="BO33" s="1" t="str">
        <f>BH33</f>
        <v>Portugal</v>
      </c>
      <c r="BP33" s="1">
        <f>VLOOKUP($BO33,$Z30:$AH33,2,FALSE)</f>
        <v>0</v>
      </c>
      <c r="BQ33" s="1">
        <f>VLOOKUP($BO33,$Z30:$AH33,3,FALSE)</f>
        <v>0</v>
      </c>
      <c r="BR33" s="1">
        <f>VLOOKUP($BO33,$Z30:$AH33,4,FALSE)</f>
        <v>0</v>
      </c>
      <c r="BS33" s="1">
        <f>VLOOKUP($BO33,$Z30:$AH33,5,FALSE)</f>
        <v>0</v>
      </c>
      <c r="BT33" s="1">
        <f>VLOOKUP($BO33,$Z30:$AH33,6,FALSE)</f>
        <v>0</v>
      </c>
      <c r="BU33" s="1">
        <f>VLOOKUP($BO33,$Z30:$AH33,7,FALSE)</f>
        <v>0</v>
      </c>
      <c r="BV33" s="1">
        <f>VLOOKUP($BO33,$Z30:$AH33,8,FALSE)</f>
        <v>0</v>
      </c>
      <c r="BW33" s="1">
        <f>VLOOKUP($BO33,$Z30:$AH33,9,FALSE)</f>
        <v>0</v>
      </c>
    </row>
    <row r="34" spans="2:13" ht="13.5" thickBot="1">
      <c r="B34" s="20">
        <v>38521</v>
      </c>
      <c r="C34" s="21">
        <v>0.75</v>
      </c>
      <c r="D34" s="39">
        <f t="shared" si="4"/>
        <v>27</v>
      </c>
      <c r="E34" s="24" t="s">
        <v>42</v>
      </c>
      <c r="F34" s="42"/>
      <c r="G34" s="42"/>
      <c r="H34" s="1" t="s">
        <v>72</v>
      </c>
      <c r="I34" s="1" t="s">
        <v>100</v>
      </c>
      <c r="J34" s="22" t="s">
        <v>76</v>
      </c>
      <c r="K34" s="23" t="s">
        <v>21</v>
      </c>
      <c r="L34" s="1">
        <f t="shared" si="7"/>
      </c>
      <c r="M34" s="1">
        <f t="shared" si="8"/>
      </c>
    </row>
    <row r="35" spans="2:24" ht="15.75" thickBot="1">
      <c r="B35" s="20">
        <v>38521</v>
      </c>
      <c r="C35" s="21">
        <v>0.75</v>
      </c>
      <c r="D35" s="39">
        <f t="shared" si="4"/>
        <v>28</v>
      </c>
      <c r="E35" s="24" t="s">
        <v>48</v>
      </c>
      <c r="F35" s="42"/>
      <c r="G35" s="42"/>
      <c r="H35" s="1" t="s">
        <v>39</v>
      </c>
      <c r="I35" s="1" t="s">
        <v>97</v>
      </c>
      <c r="J35" s="22" t="s">
        <v>82</v>
      </c>
      <c r="K35" s="23" t="s">
        <v>21</v>
      </c>
      <c r="L35" s="1">
        <f aca="true" t="shared" si="13" ref="L35:L51">IF(F35&lt;&gt;"",IF(F35&gt;G35,E35,IF(G35&gt;F35,H35,"Draw")),"")</f>
      </c>
      <c r="M35" s="1">
        <f aca="true" t="shared" si="14" ref="M35:M51">IF(F35&lt;&gt;"",IF(F35&lt;G35,E35,IF(G35&lt;F35,H35,"Draw")),"")</f>
      </c>
      <c r="O35" s="44"/>
      <c r="P35" s="4" t="s">
        <v>56</v>
      </c>
      <c r="Q35" s="5"/>
      <c r="R35" s="5"/>
      <c r="S35" s="5"/>
      <c r="T35" s="5"/>
      <c r="U35" s="5"/>
      <c r="V35" s="5"/>
      <c r="W35" s="5"/>
      <c r="X35" s="6"/>
    </row>
    <row r="36" spans="2:24" ht="13.5" thickBot="1">
      <c r="B36" s="20">
        <v>38521</v>
      </c>
      <c r="C36" s="21">
        <v>0.875</v>
      </c>
      <c r="D36" s="39">
        <f t="shared" si="4"/>
        <v>29</v>
      </c>
      <c r="E36" s="24" t="s">
        <v>25</v>
      </c>
      <c r="F36" s="42"/>
      <c r="G36" s="42"/>
      <c r="H36" s="1" t="s">
        <v>50</v>
      </c>
      <c r="I36" s="1" t="s">
        <v>99</v>
      </c>
      <c r="J36" s="22" t="s">
        <v>81</v>
      </c>
      <c r="K36" s="23" t="s">
        <v>41</v>
      </c>
      <c r="L36" s="1">
        <f t="shared" si="13"/>
      </c>
      <c r="M36" s="1">
        <f t="shared" si="14"/>
      </c>
      <c r="O36" s="45" t="s">
        <v>106</v>
      </c>
      <c r="P36" s="41" t="s">
        <v>28</v>
      </c>
      <c r="Q36" s="11" t="s">
        <v>17</v>
      </c>
      <c r="R36" s="11" t="s">
        <v>18</v>
      </c>
      <c r="S36" s="11" t="s">
        <v>20</v>
      </c>
      <c r="T36" s="11" t="s">
        <v>19</v>
      </c>
      <c r="U36" s="11" t="s">
        <v>21</v>
      </c>
      <c r="V36" s="11" t="s">
        <v>22</v>
      </c>
      <c r="W36" s="11" t="s">
        <v>23</v>
      </c>
      <c r="X36" s="12" t="s">
        <v>24</v>
      </c>
    </row>
    <row r="37" spans="2:26" ht="13.5" thickBot="1">
      <c r="B37" s="20">
        <v>38522</v>
      </c>
      <c r="C37" s="21">
        <v>0.625</v>
      </c>
      <c r="D37" s="39">
        <f t="shared" si="4"/>
        <v>30</v>
      </c>
      <c r="E37" s="24" t="s">
        <v>74</v>
      </c>
      <c r="F37" s="42"/>
      <c r="G37" s="42"/>
      <c r="H37" s="1" t="s">
        <v>73</v>
      </c>
      <c r="I37" s="1" t="s">
        <v>94</v>
      </c>
      <c r="J37" s="22" t="s">
        <v>79</v>
      </c>
      <c r="K37" s="23" t="s">
        <v>41</v>
      </c>
      <c r="L37" s="1">
        <f t="shared" si="13"/>
      </c>
      <c r="M37" s="1">
        <f t="shared" si="14"/>
      </c>
      <c r="O37" s="43"/>
      <c r="P37" s="17" t="str">
        <f aca="true" t="shared" si="15" ref="P37:R40">BO39</f>
        <v>Italy</v>
      </c>
      <c r="Q37" s="18">
        <f t="shared" si="15"/>
        <v>0</v>
      </c>
      <c r="R37" s="18">
        <f t="shared" si="15"/>
        <v>0</v>
      </c>
      <c r="S37" s="18">
        <f>BS39</f>
        <v>0</v>
      </c>
      <c r="T37" s="18">
        <f>BR39</f>
        <v>0</v>
      </c>
      <c r="U37" s="18">
        <f aca="true" t="shared" si="16" ref="U37:X40">BT39</f>
        <v>0</v>
      </c>
      <c r="V37" s="18">
        <f t="shared" si="16"/>
        <v>0</v>
      </c>
      <c r="W37" s="18">
        <f t="shared" si="16"/>
        <v>0</v>
      </c>
      <c r="X37" s="19">
        <f t="shared" si="16"/>
        <v>0</v>
      </c>
      <c r="Z37" s="1" t="s">
        <v>56</v>
      </c>
    </row>
    <row r="38" spans="2:75" ht="13.5" thickBot="1">
      <c r="B38" s="20">
        <v>38522</v>
      </c>
      <c r="C38" s="21">
        <v>0.875</v>
      </c>
      <c r="D38" s="39">
        <f t="shared" si="4"/>
        <v>31</v>
      </c>
      <c r="E38" s="24" t="s">
        <v>38</v>
      </c>
      <c r="F38" s="42"/>
      <c r="G38" s="42"/>
      <c r="H38" s="1" t="s">
        <v>52</v>
      </c>
      <c r="I38" s="1" t="s">
        <v>98</v>
      </c>
      <c r="J38" s="22" t="s">
        <v>86</v>
      </c>
      <c r="K38" s="23" t="s">
        <v>49</v>
      </c>
      <c r="L38" s="1">
        <f t="shared" si="13"/>
      </c>
      <c r="M38" s="1">
        <f t="shared" si="14"/>
      </c>
      <c r="O38" s="43"/>
      <c r="P38" s="17" t="str">
        <f t="shared" si="15"/>
        <v>Ghana</v>
      </c>
      <c r="Q38" s="18">
        <f t="shared" si="15"/>
        <v>0</v>
      </c>
      <c r="R38" s="18">
        <f t="shared" si="15"/>
        <v>0</v>
      </c>
      <c r="S38" s="18">
        <f>BS40</f>
        <v>0</v>
      </c>
      <c r="T38" s="18">
        <f>BR40</f>
        <v>0</v>
      </c>
      <c r="U38" s="18">
        <f t="shared" si="16"/>
        <v>0</v>
      </c>
      <c r="V38" s="18">
        <f t="shared" si="16"/>
        <v>0</v>
      </c>
      <c r="W38" s="18">
        <f t="shared" si="16"/>
        <v>0</v>
      </c>
      <c r="X38" s="19">
        <f t="shared" si="16"/>
        <v>0</v>
      </c>
      <c r="AA38" s="1" t="s">
        <v>26</v>
      </c>
      <c r="AB38" s="1" t="s">
        <v>18</v>
      </c>
      <c r="AC38" s="1" t="s">
        <v>19</v>
      </c>
      <c r="AD38" s="1" t="s">
        <v>20</v>
      </c>
      <c r="AE38" s="1" t="s">
        <v>21</v>
      </c>
      <c r="AF38" s="1" t="s">
        <v>22</v>
      </c>
      <c r="AG38" s="1" t="s">
        <v>23</v>
      </c>
      <c r="AH38" s="1" t="s">
        <v>27</v>
      </c>
      <c r="AI38" s="1" t="s">
        <v>28</v>
      </c>
      <c r="AJ38" s="24" t="s">
        <v>27</v>
      </c>
      <c r="AK38" s="1" t="s">
        <v>28</v>
      </c>
      <c r="AL38" s="24" t="s">
        <v>27</v>
      </c>
      <c r="AM38" s="1" t="s">
        <v>28</v>
      </c>
      <c r="AN38" s="24" t="s">
        <v>27</v>
      </c>
      <c r="AO38" s="24" t="s">
        <v>23</v>
      </c>
      <c r="AP38" s="1" t="s">
        <v>28</v>
      </c>
      <c r="AQ38" s="1" t="s">
        <v>27</v>
      </c>
      <c r="AR38" s="24" t="s">
        <v>23</v>
      </c>
      <c r="AS38" s="1" t="s">
        <v>28</v>
      </c>
      <c r="AT38" s="1" t="s">
        <v>27</v>
      </c>
      <c r="AU38" s="24" t="s">
        <v>23</v>
      </c>
      <c r="AV38" s="1" t="s">
        <v>28</v>
      </c>
      <c r="AW38" s="1" t="s">
        <v>27</v>
      </c>
      <c r="AX38" s="24" t="s">
        <v>23</v>
      </c>
      <c r="AY38" s="24" t="s">
        <v>21</v>
      </c>
      <c r="AZ38" s="1" t="s">
        <v>28</v>
      </c>
      <c r="BA38" s="1" t="s">
        <v>27</v>
      </c>
      <c r="BB38" s="24" t="s">
        <v>23</v>
      </c>
      <c r="BC38" s="24" t="s">
        <v>21</v>
      </c>
      <c r="BD38" s="1" t="s">
        <v>28</v>
      </c>
      <c r="BE38" s="1" t="s">
        <v>27</v>
      </c>
      <c r="BF38" s="24" t="s">
        <v>23</v>
      </c>
      <c r="BG38" s="24" t="s">
        <v>21</v>
      </c>
      <c r="BH38" s="1" t="s">
        <v>28</v>
      </c>
      <c r="BI38" s="24" t="s">
        <v>27</v>
      </c>
      <c r="BJ38" s="24" t="s">
        <v>23</v>
      </c>
      <c r="BK38" s="24" t="s">
        <v>21</v>
      </c>
      <c r="BP38" s="24" t="s">
        <v>17</v>
      </c>
      <c r="BQ38" s="24" t="s">
        <v>18</v>
      </c>
      <c r="BR38" s="24" t="s">
        <v>19</v>
      </c>
      <c r="BS38" s="24" t="s">
        <v>20</v>
      </c>
      <c r="BT38" s="24" t="s">
        <v>21</v>
      </c>
      <c r="BU38" s="24" t="s">
        <v>22</v>
      </c>
      <c r="BV38" s="24" t="s">
        <v>23</v>
      </c>
      <c r="BW38" s="24" t="s">
        <v>27</v>
      </c>
    </row>
    <row r="39" spans="2:75" ht="13.5" thickBot="1">
      <c r="B39" s="20">
        <v>38522</v>
      </c>
      <c r="C39" s="21">
        <v>0.75</v>
      </c>
      <c r="D39" s="39">
        <f t="shared" si="4"/>
        <v>32</v>
      </c>
      <c r="E39" s="24" t="s">
        <v>31</v>
      </c>
      <c r="F39" s="42"/>
      <c r="G39" s="42"/>
      <c r="H39" s="1" t="s">
        <v>75</v>
      </c>
      <c r="I39" s="1" t="s">
        <v>102</v>
      </c>
      <c r="J39" s="22" t="s">
        <v>80</v>
      </c>
      <c r="K39" s="23" t="s">
        <v>49</v>
      </c>
      <c r="L39" s="1">
        <f t="shared" si="13"/>
      </c>
      <c r="M39" s="1">
        <f t="shared" si="14"/>
      </c>
      <c r="O39" s="43"/>
      <c r="P39" s="17" t="str">
        <f t="shared" si="15"/>
        <v>USA</v>
      </c>
      <c r="Q39" s="18">
        <f t="shared" si="15"/>
        <v>0</v>
      </c>
      <c r="R39" s="18">
        <f t="shared" si="15"/>
        <v>0</v>
      </c>
      <c r="S39" s="18">
        <f>BS41</f>
        <v>0</v>
      </c>
      <c r="T39" s="18">
        <f>BR41</f>
        <v>0</v>
      </c>
      <c r="U39" s="18">
        <f t="shared" si="16"/>
        <v>0</v>
      </c>
      <c r="V39" s="18">
        <f t="shared" si="16"/>
        <v>0</v>
      </c>
      <c r="W39" s="18">
        <f t="shared" si="16"/>
        <v>0</v>
      </c>
      <c r="X39" s="19">
        <f t="shared" si="16"/>
        <v>0</v>
      </c>
      <c r="Y39" s="1" t="s">
        <v>57</v>
      </c>
      <c r="Z39" s="1" t="s">
        <v>44</v>
      </c>
      <c r="AA39" s="1">
        <f>COUNT(Italy_Played)</f>
        <v>0</v>
      </c>
      <c r="AB39" s="1">
        <f>COUNTIF(Groupstage_Winners,"Italy")</f>
        <v>0</v>
      </c>
      <c r="AC39" s="1">
        <f>COUNTIF(Groupstage_Losers,"Italy")</f>
        <v>0</v>
      </c>
      <c r="AD39" s="1">
        <f>AA39-(AB39+AC39)</f>
        <v>0</v>
      </c>
      <c r="AE39" s="1">
        <f>SUM(Italy_Played)</f>
        <v>0</v>
      </c>
      <c r="AF39" s="1">
        <f>SUM(Italy_Against)</f>
        <v>0</v>
      </c>
      <c r="AG39" s="1">
        <f>AE39-AF39</f>
        <v>0</v>
      </c>
      <c r="AH39" s="1">
        <f>AB39*Winpoints+AD39*Drawpoints</f>
        <v>0</v>
      </c>
      <c r="AI39" s="1" t="str">
        <f>IF($AH39&gt;=$AH40,$Z39,$Z40)</f>
        <v>Italy</v>
      </c>
      <c r="AJ39" s="1">
        <f>VLOOKUP($AI39,$Z39:$AH42,9,FALSE)</f>
        <v>0</v>
      </c>
      <c r="AK39" s="1" t="str">
        <f>IF($AJ39&gt;=$AJ41,$AI39,$AI41)</f>
        <v>Italy</v>
      </c>
      <c r="AL39" s="1">
        <f>VLOOKUP($AK39,$Z39:$AH42,9,FALSE)</f>
        <v>0</v>
      </c>
      <c r="AM39" s="1" t="str">
        <f>IF($AL39&gt;=$AL42,$AK39,$AK42)</f>
        <v>Italy</v>
      </c>
      <c r="AN39" s="1">
        <f>VLOOKUP($AM39,$Z39:$AH42,9,FALSE)</f>
        <v>0</v>
      </c>
      <c r="AO39" s="1">
        <f>VLOOKUP($AM39,$Z39:$AH42,8,FALSE)</f>
        <v>0</v>
      </c>
      <c r="AP39" s="1" t="str">
        <f>IF(AND($AN39=$AN40,$AO40&gt;$AO39),$AM40,$AM39)</f>
        <v>Italy</v>
      </c>
      <c r="AQ39" s="1">
        <f>VLOOKUP($AP39,$Z39:$AH42,9,FALSE)</f>
        <v>0</v>
      </c>
      <c r="AR39" s="1">
        <f>VLOOKUP($AP39,$Z39:$AH42,8,FALSE)</f>
        <v>0</v>
      </c>
      <c r="AS39" s="1" t="str">
        <f>IF(AND($AQ39=$AQ41,$AR41&gt;$AR39),$AP41,$AP39)</f>
        <v>Italy</v>
      </c>
      <c r="AT39" s="1">
        <f>VLOOKUP($AS39,$Z39:$AH42,9,FALSE)</f>
        <v>0</v>
      </c>
      <c r="AU39" s="1">
        <f>VLOOKUP($AS39,$Z39:$AH42,8,FALSE)</f>
        <v>0</v>
      </c>
      <c r="AV39" s="1" t="str">
        <f>IF(AND($AT39=$AT42,$AU42&gt;$AU39),$AS42,$AS39)</f>
        <v>Italy</v>
      </c>
      <c r="AW39" s="1">
        <f>VLOOKUP($AV39,$Z39:$AH42,9,FALSE)</f>
        <v>0</v>
      </c>
      <c r="AX39" s="1">
        <f>VLOOKUP($AV39,$Z39:$AH42,8,FALSE)</f>
        <v>0</v>
      </c>
      <c r="AY39" s="1">
        <f>VLOOKUP($AV39,$Z39:$AH42,6,FALSE)</f>
        <v>0</v>
      </c>
      <c r="AZ39" s="1" t="str">
        <f>IF(AND($AW39=$AW40,$AX39=$AX40,$AY40&gt;$AY39),$AV40,$AV39)</f>
        <v>Italy</v>
      </c>
      <c r="BA39" s="1">
        <f>VLOOKUP($AZ39,$Z39:$AH42,9,FALSE)</f>
        <v>0</v>
      </c>
      <c r="BB39" s="1">
        <f>VLOOKUP($AZ39,$Z39:$AH42,8,FALSE)</f>
        <v>0</v>
      </c>
      <c r="BC39" s="1">
        <f>VLOOKUP($AZ39,$Z39:$AH42,6,FALSE)</f>
        <v>0</v>
      </c>
      <c r="BD39" s="1" t="str">
        <f>IF(AND($BA39=$BA41,$BB39=$BB41,$BC41&gt;$BC39),$AZ41,$AZ39)</f>
        <v>Italy</v>
      </c>
      <c r="BE39" s="1">
        <f>VLOOKUP($BD39,$Z39:$AH42,9,FALSE)</f>
        <v>0</v>
      </c>
      <c r="BF39" s="1">
        <f>VLOOKUP($BD39,$Z39:$AH42,8,FALSE)</f>
        <v>0</v>
      </c>
      <c r="BG39" s="1">
        <f>VLOOKUP($BD39,$Z39:$AH42,6,FALSE)</f>
        <v>0</v>
      </c>
      <c r="BH39" s="1" t="str">
        <f>IF(AND($BE39=$BE42,$BF39=$BF42,$BG42&gt;$BG39),$BD42,$BD39)</f>
        <v>Italy</v>
      </c>
      <c r="BI39" s="1">
        <f>VLOOKUP($BH39,$Z39:$AH42,9,FALSE)</f>
        <v>0</v>
      </c>
      <c r="BJ39" s="1">
        <f>VLOOKUP($BH39,$Z39:$AH42,8,FALSE)</f>
        <v>0</v>
      </c>
      <c r="BK39" s="1">
        <f>VLOOKUP($BH39,$Z39:$AH42,6,FALSE)</f>
        <v>0</v>
      </c>
      <c r="BO39" s="1" t="str">
        <f>BH39</f>
        <v>Italy</v>
      </c>
      <c r="BP39" s="1">
        <f>VLOOKUP($BO39,$Z39:$AH42,2,FALSE)</f>
        <v>0</v>
      </c>
      <c r="BQ39" s="1">
        <f>VLOOKUP($BO39,$Z39:$AH42,3,FALSE)</f>
        <v>0</v>
      </c>
      <c r="BR39" s="1">
        <f>VLOOKUP($BO39,$Z39:$AH42,4,FALSE)</f>
        <v>0</v>
      </c>
      <c r="BS39" s="1">
        <f>VLOOKUP($BO39,$Z39:$AH42,5,FALSE)</f>
        <v>0</v>
      </c>
      <c r="BT39" s="1">
        <f>VLOOKUP($BO39,$Z39:$AH42,6,FALSE)</f>
        <v>0</v>
      </c>
      <c r="BU39" s="1">
        <f>VLOOKUP($BO39,$Z39:$AH42,7,FALSE)</f>
        <v>0</v>
      </c>
      <c r="BV39" s="1">
        <f>VLOOKUP($BO39,$Z39:$AH42,8,FALSE)</f>
        <v>0</v>
      </c>
      <c r="BW39" s="1">
        <f>VLOOKUP($BO39,$Z39:$AH42,9,FALSE)</f>
        <v>0</v>
      </c>
    </row>
    <row r="40" spans="2:75" ht="13.5" thickBot="1">
      <c r="B40" s="20">
        <v>38523</v>
      </c>
      <c r="C40" s="21">
        <v>0.6666666666666666</v>
      </c>
      <c r="D40" s="39">
        <f t="shared" si="4"/>
        <v>33</v>
      </c>
      <c r="E40" s="24" t="s">
        <v>45</v>
      </c>
      <c r="F40" s="42"/>
      <c r="G40" s="42"/>
      <c r="H40" s="1" t="s">
        <v>30</v>
      </c>
      <c r="I40" s="1" t="s">
        <v>93</v>
      </c>
      <c r="J40" s="22" t="s">
        <v>85</v>
      </c>
      <c r="K40" s="23" t="s">
        <v>22</v>
      </c>
      <c r="L40" s="1">
        <f t="shared" si="13"/>
      </c>
      <c r="M40" s="1">
        <f t="shared" si="14"/>
      </c>
      <c r="O40" s="43"/>
      <c r="P40" s="25" t="str">
        <f t="shared" si="15"/>
        <v>Czech Rep</v>
      </c>
      <c r="Q40" s="26">
        <f t="shared" si="15"/>
        <v>0</v>
      </c>
      <c r="R40" s="26">
        <f t="shared" si="15"/>
        <v>0</v>
      </c>
      <c r="S40" s="26">
        <f>BS42</f>
        <v>0</v>
      </c>
      <c r="T40" s="26">
        <f>BR42</f>
        <v>0</v>
      </c>
      <c r="U40" s="26">
        <f t="shared" si="16"/>
        <v>0</v>
      </c>
      <c r="V40" s="26">
        <f t="shared" si="16"/>
        <v>0</v>
      </c>
      <c r="W40" s="26">
        <f t="shared" si="16"/>
        <v>0</v>
      </c>
      <c r="X40" s="27">
        <f t="shared" si="16"/>
        <v>0</v>
      </c>
      <c r="Z40" s="1" t="s">
        <v>71</v>
      </c>
      <c r="AA40" s="1">
        <f>COUNT(Ghana_Played)</f>
        <v>0</v>
      </c>
      <c r="AB40" s="1">
        <f>COUNTIF(Groupstage_Winners,"Ghana")</f>
        <v>0</v>
      </c>
      <c r="AC40" s="1">
        <f>COUNTIF(Groupstage_Losers,"Ghana")</f>
        <v>0</v>
      </c>
      <c r="AD40" s="1">
        <f>AA40-(AB40+AC40)</f>
        <v>0</v>
      </c>
      <c r="AE40" s="1">
        <f>SUM(Ghana_Played)</f>
        <v>0</v>
      </c>
      <c r="AF40" s="1">
        <f>SUM(Ghana_Against)</f>
        <v>0</v>
      </c>
      <c r="AG40" s="1">
        <f>AE40-AF40</f>
        <v>0</v>
      </c>
      <c r="AH40" s="1">
        <f>AB40*Winpoints+AD40*Drawpoints</f>
        <v>0</v>
      </c>
      <c r="AI40" s="1" t="str">
        <f>IF($AH40&lt;=$AH39,$Z40,$Z39)</f>
        <v>Ghana</v>
      </c>
      <c r="AJ40" s="1">
        <f>VLOOKUP($AI40,$Z39:$AH42,9,FALSE)</f>
        <v>0</v>
      </c>
      <c r="AK40" s="1" t="str">
        <f>IF(AJ40&gt;=AJ42,AI40,AI42)</f>
        <v>Ghana</v>
      </c>
      <c r="AL40" s="1">
        <f>VLOOKUP($AK40,$Z39:$AH42,9,FALSE)</f>
        <v>0</v>
      </c>
      <c r="AM40" s="1" t="str">
        <f>IF($AL40&gt;=$AL41,$AK40,$AK41)</f>
        <v>Ghana</v>
      </c>
      <c r="AN40" s="1">
        <f>VLOOKUP($AM40,$Z39:$AH42,9,FALSE)</f>
        <v>0</v>
      </c>
      <c r="AO40" s="1">
        <f>VLOOKUP($AM40,$Z39:$AH42,8,FALSE)</f>
        <v>0</v>
      </c>
      <c r="AP40" s="1" t="str">
        <f>IF(AND($AN39=$AN40,$AO40&gt;$AO39),$AM39,$AM40)</f>
        <v>Ghana</v>
      </c>
      <c r="AQ40" s="1">
        <f>VLOOKUP($AP40,$Z39:$AH42,9,FALSE)</f>
        <v>0</v>
      </c>
      <c r="AR40" s="1">
        <f>VLOOKUP($AP40,$Z39:$AH42,8,FALSE)</f>
        <v>0</v>
      </c>
      <c r="AS40" s="1" t="str">
        <f>IF(AND($AQ40=$AQ42,$AR42&gt;$AR40),$AP42,$AP40)</f>
        <v>Ghana</v>
      </c>
      <c r="AT40" s="1">
        <f>VLOOKUP($AS40,$Z39:$AH42,9,FALSE)</f>
        <v>0</v>
      </c>
      <c r="AU40" s="1">
        <f>VLOOKUP($AS40,$Z39:$AH42,8,FALSE)</f>
        <v>0</v>
      </c>
      <c r="AV40" s="1" t="str">
        <f>IF(AND($AT40=$AT41,$AU41&gt;$AU40),$AS41,$AS40)</f>
        <v>Ghana</v>
      </c>
      <c r="AW40" s="1">
        <f>VLOOKUP($AV40,$Z39:$AH42,9,FALSE)</f>
        <v>0</v>
      </c>
      <c r="AX40" s="1">
        <f>VLOOKUP($AV40,$Z39:$AH42,8,FALSE)</f>
        <v>0</v>
      </c>
      <c r="AY40" s="1">
        <f>VLOOKUP($AV40,$Z39:$AH42,6,FALSE)</f>
        <v>0</v>
      </c>
      <c r="AZ40" s="1" t="str">
        <f>IF(AND($AW39=$AW40,$AX39=$AX40,$AY40&gt;$AY39),$AV39,$AV40)</f>
        <v>Ghana</v>
      </c>
      <c r="BA40" s="1">
        <f>VLOOKUP($AZ40,$Z39:$AH42,9,FALSE)</f>
        <v>0</v>
      </c>
      <c r="BB40" s="1">
        <f>VLOOKUP($AZ40,$Z39:$AH42,8,FALSE)</f>
        <v>0</v>
      </c>
      <c r="BC40" s="1">
        <f>VLOOKUP($AZ40,$Z39:$AH42,6,FALSE)</f>
        <v>0</v>
      </c>
      <c r="BD40" s="1" t="str">
        <f>IF(AND($BA40=$BA42,$BB40=$BB42,$BC42&gt;$BC40),$AZ42,$AZ40)</f>
        <v>Ghana</v>
      </c>
      <c r="BE40" s="1">
        <f>VLOOKUP($BD40,$Z39:$AH42,9,FALSE)</f>
        <v>0</v>
      </c>
      <c r="BF40" s="1">
        <f>VLOOKUP($BD40,$Z39:$AH42,8,FALSE)</f>
        <v>0</v>
      </c>
      <c r="BG40" s="1">
        <f>VLOOKUP($BD40,$Z39:$AH42,6,FALSE)</f>
        <v>0</v>
      </c>
      <c r="BH40" s="1" t="str">
        <f>IF(AND($BE40=$BE41,$BF40=$BF41,$BG41&gt;$BG40),$BD41,$BD40)</f>
        <v>Ghana</v>
      </c>
      <c r="BI40" s="1">
        <f>VLOOKUP($BH40,$Z39:$AH42,9,FALSE)</f>
        <v>0</v>
      </c>
      <c r="BJ40" s="1">
        <f>VLOOKUP($BH40,$Z39:$AH42,8,FALSE)</f>
        <v>0</v>
      </c>
      <c r="BK40" s="1">
        <f>VLOOKUP($BH40,$Z39:$AH42,6,FALSE)</f>
        <v>0</v>
      </c>
      <c r="BO40" s="1" t="str">
        <f>BH40</f>
        <v>Ghana</v>
      </c>
      <c r="BP40" s="1">
        <f>VLOOKUP($BO40,$Z39:$AH42,2,FALSE)</f>
        <v>0</v>
      </c>
      <c r="BQ40" s="1">
        <f>VLOOKUP($BO40,$Z39:$AH42,3,FALSE)</f>
        <v>0</v>
      </c>
      <c r="BR40" s="1">
        <f>VLOOKUP($BO40,$Z39:$AH42,4,FALSE)</f>
        <v>0</v>
      </c>
      <c r="BS40" s="1">
        <f>VLOOKUP($BO40,$Z39:$AH42,5,FALSE)</f>
        <v>0</v>
      </c>
      <c r="BT40" s="1">
        <f>VLOOKUP($BO40,$Z39:$AH42,6,FALSE)</f>
        <v>0</v>
      </c>
      <c r="BU40" s="1">
        <f>VLOOKUP($BO40,$Z39:$AH42,7,FALSE)</f>
        <v>0</v>
      </c>
      <c r="BV40" s="1">
        <f>VLOOKUP($BO40,$Z39:$AH42,8,FALSE)</f>
        <v>0</v>
      </c>
      <c r="BW40" s="1">
        <f>VLOOKUP($BO40,$Z39:$AH42,9,FALSE)</f>
        <v>0</v>
      </c>
    </row>
    <row r="41" spans="2:75" ht="13.5" thickBot="1">
      <c r="B41" s="20">
        <v>38523</v>
      </c>
      <c r="C41" s="21">
        <v>0.6666666666666666</v>
      </c>
      <c r="D41" s="39">
        <f t="shared" si="4"/>
        <v>34</v>
      </c>
      <c r="E41" s="24" t="s">
        <v>46</v>
      </c>
      <c r="F41" s="42"/>
      <c r="G41" s="42"/>
      <c r="H41" s="1" t="s">
        <v>51</v>
      </c>
      <c r="I41" s="1" t="s">
        <v>103</v>
      </c>
      <c r="J41" s="22" t="s">
        <v>84</v>
      </c>
      <c r="K41" s="23" t="s">
        <v>22</v>
      </c>
      <c r="L41" s="1">
        <f t="shared" si="13"/>
      </c>
      <c r="M41" s="1">
        <f t="shared" si="14"/>
      </c>
      <c r="Z41" s="1" t="s">
        <v>53</v>
      </c>
      <c r="AA41" s="1">
        <f>COUNT(USA_Played)</f>
        <v>0</v>
      </c>
      <c r="AB41" s="1">
        <f>COUNTIF(Groupstage_Winners,"USA")</f>
        <v>0</v>
      </c>
      <c r="AC41" s="1">
        <f>COUNTIF(Groupstage_Losers,"USA")</f>
        <v>0</v>
      </c>
      <c r="AD41" s="1">
        <f>AA41-(AB41+AC41)</f>
        <v>0</v>
      </c>
      <c r="AE41" s="1">
        <f>SUM(USA_Played)</f>
        <v>0</v>
      </c>
      <c r="AF41" s="1">
        <f>SUM(USA_Against)</f>
        <v>0</v>
      </c>
      <c r="AG41" s="1">
        <f>AE41-AF41</f>
        <v>0</v>
      </c>
      <c r="AH41" s="1">
        <f>AB41*Winpoints+AD41*Drawpoints</f>
        <v>0</v>
      </c>
      <c r="AI41" s="1" t="str">
        <f>IF($AH41&gt;=$AH42,$Z41,$Z42)</f>
        <v>USA</v>
      </c>
      <c r="AJ41" s="1">
        <f>VLOOKUP($AI41,$Z39:$AH42,9,FALSE)</f>
        <v>0</v>
      </c>
      <c r="AK41" s="1" t="str">
        <f>IF($AJ41&lt;=$AJ39,$AI41,$AI39)</f>
        <v>USA</v>
      </c>
      <c r="AL41" s="1">
        <f>VLOOKUP($AK41,$Z39:$AH42,9,FALSE)</f>
        <v>0</v>
      </c>
      <c r="AM41" s="1" t="str">
        <f>IF($AL41&lt;=$AL40,$AK41,$AK40)</f>
        <v>USA</v>
      </c>
      <c r="AN41" s="1">
        <f>VLOOKUP($AM41,$Z39:$AH42,9,FALSE)</f>
        <v>0</v>
      </c>
      <c r="AO41" s="1">
        <f>VLOOKUP($AM41,$Z39:$AH42,8,FALSE)</f>
        <v>0</v>
      </c>
      <c r="AP41" s="1" t="str">
        <f>IF(AND($AN41=$AN42,$AO42&gt;$AO41),$AM42,$AM41)</f>
        <v>USA</v>
      </c>
      <c r="AQ41" s="1">
        <f>VLOOKUP($AP41,$Z39:$AH42,9,FALSE)</f>
        <v>0</v>
      </c>
      <c r="AR41" s="1">
        <f>VLOOKUP($AP41,$Z39:$AH42,8,FALSE)</f>
        <v>0</v>
      </c>
      <c r="AS41" s="1" t="str">
        <f>IF(AND($AQ39=$AQ41,$AR41&gt;$AR39),$AP39,$AP41)</f>
        <v>USA</v>
      </c>
      <c r="AT41" s="1">
        <f>VLOOKUP($AS41,$Z39:$AH42,9,FALSE)</f>
        <v>0</v>
      </c>
      <c r="AU41" s="1">
        <f>VLOOKUP($AS41,$Z39:$AH42,8,FALSE)</f>
        <v>0</v>
      </c>
      <c r="AV41" s="1" t="str">
        <f>IF(AND($AT40=$AT41,$AU41&gt;$AU40),$AS40,$AS41)</f>
        <v>USA</v>
      </c>
      <c r="AW41" s="1">
        <f>VLOOKUP($AV41,$Z39:$AH42,9,FALSE)</f>
        <v>0</v>
      </c>
      <c r="AX41" s="1">
        <f>VLOOKUP($AV41,$Z39:$AH42,8,FALSE)</f>
        <v>0</v>
      </c>
      <c r="AY41" s="1">
        <f>VLOOKUP($AV41,$Z39:$AH42,6,FALSE)</f>
        <v>0</v>
      </c>
      <c r="AZ41" s="1" t="str">
        <f>IF(AND($AW41=$AW42,$AX41=$AX42,$AY42&gt;$AY41),$AV42,$AV41)</f>
        <v>USA</v>
      </c>
      <c r="BA41" s="1">
        <f>VLOOKUP($AZ41,$Z39:$AH42,9,FALSE)</f>
        <v>0</v>
      </c>
      <c r="BB41" s="1">
        <f>VLOOKUP($AZ41,$Z39:$AH42,8,FALSE)</f>
        <v>0</v>
      </c>
      <c r="BC41" s="1">
        <f>VLOOKUP($AZ41,$Z39:$AH42,6,FALSE)</f>
        <v>0</v>
      </c>
      <c r="BD41" s="1" t="str">
        <f>IF(AND($BA39=$BA41,$BB39=$BB41,$BC41&gt;$BC39),$AZ39,$AZ41)</f>
        <v>USA</v>
      </c>
      <c r="BE41" s="1">
        <f>VLOOKUP($BD41,$Z39:$AH42,9,FALSE)</f>
        <v>0</v>
      </c>
      <c r="BF41" s="1">
        <f>VLOOKUP($BD41,$Z39:$AH42,8,FALSE)</f>
        <v>0</v>
      </c>
      <c r="BG41" s="1">
        <f>VLOOKUP($BD41,$Z39:$AH42,6,FALSE)</f>
        <v>0</v>
      </c>
      <c r="BH41" s="1" t="str">
        <f>IF(AND($BE40=$BE41,$BF40=$BF41,$BG41&gt;$BG40),$BD40,$BD41)</f>
        <v>USA</v>
      </c>
      <c r="BI41" s="1">
        <f>VLOOKUP($BH41,$Z39:$AH42,9,FALSE)</f>
        <v>0</v>
      </c>
      <c r="BJ41" s="1">
        <f>VLOOKUP($BH41,$Z39:$AH42,8,FALSE)</f>
        <v>0</v>
      </c>
      <c r="BK41" s="1">
        <f>VLOOKUP($BH41,$Z39:$AH42,6,FALSE)</f>
        <v>0</v>
      </c>
      <c r="BO41" s="1" t="str">
        <f>BH41</f>
        <v>USA</v>
      </c>
      <c r="BP41" s="1">
        <f>VLOOKUP($BO41,$Z39:$AH42,2,FALSE)</f>
        <v>0</v>
      </c>
      <c r="BQ41" s="1">
        <f>VLOOKUP($BO41,$Z39:$AH42,3,FALSE)</f>
        <v>0</v>
      </c>
      <c r="BR41" s="1">
        <f>VLOOKUP($BO41,$Z39:$AH42,4,FALSE)</f>
        <v>0</v>
      </c>
      <c r="BS41" s="1">
        <f>VLOOKUP($BO41,$Z39:$AH42,5,FALSE)</f>
        <v>0</v>
      </c>
      <c r="BT41" s="1">
        <f>VLOOKUP($BO41,$Z39:$AH42,6,FALSE)</f>
        <v>0</v>
      </c>
      <c r="BU41" s="1">
        <f>VLOOKUP($BO41,$Z39:$AH42,7,FALSE)</f>
        <v>0</v>
      </c>
      <c r="BV41" s="1">
        <f>VLOOKUP($BO41,$Z39:$AH42,8,FALSE)</f>
        <v>0</v>
      </c>
      <c r="BW41" s="1">
        <f>VLOOKUP($BO41,$Z39:$AH42,9,FALSE)</f>
        <v>0</v>
      </c>
    </row>
    <row r="42" spans="2:75" ht="15.75" thickBot="1">
      <c r="B42" s="20">
        <v>38523</v>
      </c>
      <c r="C42" s="21">
        <v>0.875</v>
      </c>
      <c r="D42" s="39">
        <f t="shared" si="4"/>
        <v>35</v>
      </c>
      <c r="E42" s="24" t="s">
        <v>33</v>
      </c>
      <c r="F42" s="42"/>
      <c r="G42" s="42"/>
      <c r="H42" s="1" t="s">
        <v>32</v>
      </c>
      <c r="I42" s="1" t="s">
        <v>104</v>
      </c>
      <c r="J42" s="22" t="s">
        <v>83</v>
      </c>
      <c r="K42" s="23" t="s">
        <v>36</v>
      </c>
      <c r="L42" s="1">
        <f t="shared" si="13"/>
      </c>
      <c r="M42" s="1">
        <f t="shared" si="14"/>
      </c>
      <c r="O42" s="44"/>
      <c r="P42" s="4" t="s">
        <v>58</v>
      </c>
      <c r="Q42" s="5"/>
      <c r="R42" s="5"/>
      <c r="S42" s="5"/>
      <c r="T42" s="5"/>
      <c r="U42" s="5"/>
      <c r="V42" s="5"/>
      <c r="W42" s="5"/>
      <c r="X42" s="6"/>
      <c r="Z42" s="1" t="s">
        <v>89</v>
      </c>
      <c r="AA42" s="1">
        <f>COUNT(Czech_Played)</f>
        <v>0</v>
      </c>
      <c r="AB42" s="1">
        <f>COUNTIF(Groupstage_Winners,"Czech Rep")</f>
        <v>0</v>
      </c>
      <c r="AC42" s="1">
        <f>COUNTIF(Groupstage_Losers,"Czech Rep")</f>
        <v>0</v>
      </c>
      <c r="AD42" s="1">
        <f>AA42-(AB42+AC42)</f>
        <v>0</v>
      </c>
      <c r="AE42" s="1">
        <f>SUM(Czech_Played)</f>
        <v>0</v>
      </c>
      <c r="AF42" s="1">
        <f>SUM(Czech_Against)</f>
        <v>0</v>
      </c>
      <c r="AG42" s="1">
        <f>AE42-AF42</f>
        <v>0</v>
      </c>
      <c r="AH42" s="1">
        <f>AB42*Winpoints+AD42*Drawpoints</f>
        <v>0</v>
      </c>
      <c r="AI42" s="1" t="str">
        <f>IF($AH42&lt;=$AH41,$Z42,$Z41)</f>
        <v>Czech Rep</v>
      </c>
      <c r="AJ42" s="1">
        <f>VLOOKUP($AI42,$Z39:$AH42,9,FALSE)</f>
        <v>0</v>
      </c>
      <c r="AK42" s="1" t="str">
        <f>IF(AJ42&lt;=AJ40,AI42,AI40)</f>
        <v>Czech Rep</v>
      </c>
      <c r="AL42" s="1">
        <f>VLOOKUP($AK42,$Z39:$AH42,9,FALSE)</f>
        <v>0</v>
      </c>
      <c r="AM42" s="1" t="str">
        <f>IF($AL42&lt;=$AL39,$AK42,$AK39)</f>
        <v>Czech Rep</v>
      </c>
      <c r="AN42" s="1">
        <f>VLOOKUP($AM42,$Z39:$AH42,9,FALSE)</f>
        <v>0</v>
      </c>
      <c r="AO42" s="1">
        <f>VLOOKUP($AM42,$Z39:$AH42,8,FALSE)</f>
        <v>0</v>
      </c>
      <c r="AP42" s="1" t="str">
        <f>IF(AND($AN41=$AN42,$AO42&gt;$AO41),$AM41,$AM42)</f>
        <v>Czech Rep</v>
      </c>
      <c r="AQ42" s="1">
        <f>VLOOKUP($AP42,$Z39:$AH42,9,FALSE)</f>
        <v>0</v>
      </c>
      <c r="AR42" s="1">
        <f>VLOOKUP($AP42,$Z39:$AH42,8,FALSE)</f>
        <v>0</v>
      </c>
      <c r="AS42" s="1" t="str">
        <f>IF(AND($AQ40=$AQ42,$AR42&gt;$AR40),$AP40,$AP42)</f>
        <v>Czech Rep</v>
      </c>
      <c r="AT42" s="1">
        <f>VLOOKUP($AS42,$Z39:$AH42,9,FALSE)</f>
        <v>0</v>
      </c>
      <c r="AU42" s="1">
        <f>VLOOKUP($AS42,$Z39:$AH42,8,FALSE)</f>
        <v>0</v>
      </c>
      <c r="AV42" s="1" t="str">
        <f>IF(AND($AT39=$AT42,$AU42&gt;$AU39),$AS39,$AS42)</f>
        <v>Czech Rep</v>
      </c>
      <c r="AW42" s="1">
        <f>VLOOKUP($AV42,$Z39:$AH42,9,FALSE)</f>
        <v>0</v>
      </c>
      <c r="AX42" s="1">
        <f>VLOOKUP($AV42,$Z39:$AH42,8,FALSE)</f>
        <v>0</v>
      </c>
      <c r="AY42" s="1">
        <f>VLOOKUP($AV42,$Z39:$AH42,6,FALSE)</f>
        <v>0</v>
      </c>
      <c r="AZ42" s="1" t="str">
        <f>IF(AND($AW41=$AW42,$AX41=$AX42,$AY42&gt;$AY41),$AV41,$AV42)</f>
        <v>Czech Rep</v>
      </c>
      <c r="BA42" s="1">
        <f>VLOOKUP($AZ42,$Z39:$AH42,9,FALSE)</f>
        <v>0</v>
      </c>
      <c r="BB42" s="1">
        <f>VLOOKUP($AZ42,$Z39:$AH42,8,FALSE)</f>
        <v>0</v>
      </c>
      <c r="BC42" s="1">
        <f>VLOOKUP($AZ42,$Z39:$AH42,6,FALSE)</f>
        <v>0</v>
      </c>
      <c r="BD42" s="1" t="str">
        <f>IF(AND($BA40=$BA42,$BB40=$BB42,$BC42&gt;$BC40),$AZ40,$AZ42)</f>
        <v>Czech Rep</v>
      </c>
      <c r="BE42" s="1">
        <f>VLOOKUP($BD42,$Z39:$AH42,9,FALSE)</f>
        <v>0</v>
      </c>
      <c r="BF42" s="1">
        <f>VLOOKUP($BD42,$Z39:$AH42,8,FALSE)</f>
        <v>0</v>
      </c>
      <c r="BG42" s="1">
        <f>VLOOKUP($BD42,$Z39:$AH42,6,FALSE)</f>
        <v>0</v>
      </c>
      <c r="BH42" s="1" t="str">
        <f>IF(AND($BE39=$BE42,$BF39=$BF42,$BG42&gt;$BG39),$BD39,$BD42)</f>
        <v>Czech Rep</v>
      </c>
      <c r="BI42" s="1">
        <f>VLOOKUP($BH42,$Z39:$AH42,9,FALSE)</f>
        <v>0</v>
      </c>
      <c r="BJ42" s="1">
        <f>VLOOKUP($BH42,$Z39:$AH42,8,FALSE)</f>
        <v>0</v>
      </c>
      <c r="BK42" s="1">
        <f>VLOOKUP($BH42,$Z39:$AH42,6,FALSE)</f>
        <v>0</v>
      </c>
      <c r="BO42" s="1" t="str">
        <f>BH42</f>
        <v>Czech Rep</v>
      </c>
      <c r="BP42" s="1">
        <f>VLOOKUP($BO42,$Z39:$AH42,2,FALSE)</f>
        <v>0</v>
      </c>
      <c r="BQ42" s="1">
        <f>VLOOKUP($BO42,$Z39:$AH42,3,FALSE)</f>
        <v>0</v>
      </c>
      <c r="BR42" s="1">
        <f>VLOOKUP($BO42,$Z39:$AH42,4,FALSE)</f>
        <v>0</v>
      </c>
      <c r="BS42" s="1">
        <f>VLOOKUP($BO42,$Z39:$AH42,5,FALSE)</f>
        <v>0</v>
      </c>
      <c r="BT42" s="1">
        <f>VLOOKUP($BO42,$Z39:$AH42,6,FALSE)</f>
        <v>0</v>
      </c>
      <c r="BU42" s="1">
        <f>VLOOKUP($BO42,$Z39:$AH42,7,FALSE)</f>
        <v>0</v>
      </c>
      <c r="BV42" s="1">
        <f>VLOOKUP($BO42,$Z39:$AH42,8,FALSE)</f>
        <v>0</v>
      </c>
      <c r="BW42" s="1">
        <f>VLOOKUP($BO42,$Z39:$AH42,9,FALSE)</f>
        <v>0</v>
      </c>
    </row>
    <row r="43" spans="2:24" ht="13.5" thickBot="1">
      <c r="B43" s="20">
        <v>38523</v>
      </c>
      <c r="C43" s="21">
        <v>0.875</v>
      </c>
      <c r="D43" s="39">
        <f t="shared" si="4"/>
        <v>36</v>
      </c>
      <c r="E43" s="24" t="s">
        <v>35</v>
      </c>
      <c r="F43" s="42"/>
      <c r="G43" s="42"/>
      <c r="H43" s="1" t="s">
        <v>87</v>
      </c>
      <c r="I43" s="1" t="s">
        <v>96</v>
      </c>
      <c r="J43" s="22" t="s">
        <v>90</v>
      </c>
      <c r="K43" s="23" t="s">
        <v>36</v>
      </c>
      <c r="L43" s="1">
        <f t="shared" si="13"/>
      </c>
      <c r="M43" s="1">
        <f t="shared" si="14"/>
      </c>
      <c r="O43" s="45" t="s">
        <v>106</v>
      </c>
      <c r="P43" s="41" t="s">
        <v>28</v>
      </c>
      <c r="Q43" s="11" t="s">
        <v>17</v>
      </c>
      <c r="R43" s="11" t="s">
        <v>18</v>
      </c>
      <c r="S43" s="11" t="s">
        <v>20</v>
      </c>
      <c r="T43" s="11" t="s">
        <v>19</v>
      </c>
      <c r="U43" s="11" t="s">
        <v>21</v>
      </c>
      <c r="V43" s="11" t="s">
        <v>22</v>
      </c>
      <c r="W43" s="11" t="s">
        <v>23</v>
      </c>
      <c r="X43" s="12" t="s">
        <v>24</v>
      </c>
    </row>
    <row r="44" spans="2:26" ht="13.5" thickBot="1">
      <c r="B44" s="20">
        <v>38524</v>
      </c>
      <c r="C44" s="21">
        <v>0.875</v>
      </c>
      <c r="D44" s="39">
        <f t="shared" si="4"/>
        <v>37</v>
      </c>
      <c r="E44" s="24" t="s">
        <v>68</v>
      </c>
      <c r="F44" s="42"/>
      <c r="G44" s="42"/>
      <c r="H44" s="1" t="s">
        <v>37</v>
      </c>
      <c r="I44" s="1" t="s">
        <v>95</v>
      </c>
      <c r="J44" s="22" t="s">
        <v>78</v>
      </c>
      <c r="K44" s="23" t="s">
        <v>43</v>
      </c>
      <c r="L44" s="1">
        <f>IF(F44&lt;&gt;"",IF(F44&gt;G44,E44,IF(G44&gt;F44,H44,"Draw")),"")</f>
      </c>
      <c r="M44" s="1">
        <f>IF(F44&lt;&gt;"",IF(F44&lt;G44,E44,IF(G44&lt;F44,H44,"Draw")),"")</f>
      </c>
      <c r="O44" s="43"/>
      <c r="P44" s="17" t="str">
        <f aca="true" t="shared" si="17" ref="P44:R47">BO46</f>
        <v>Brazil</v>
      </c>
      <c r="Q44" s="18">
        <f t="shared" si="17"/>
        <v>0</v>
      </c>
      <c r="R44" s="18">
        <f t="shared" si="17"/>
        <v>0</v>
      </c>
      <c r="S44" s="18">
        <f>BS46</f>
        <v>0</v>
      </c>
      <c r="T44" s="18">
        <f>BR46</f>
        <v>0</v>
      </c>
      <c r="U44" s="18">
        <f aca="true" t="shared" si="18" ref="U44:X47">BT46</f>
        <v>0</v>
      </c>
      <c r="V44" s="18">
        <f t="shared" si="18"/>
        <v>0</v>
      </c>
      <c r="W44" s="18">
        <f t="shared" si="18"/>
        <v>0</v>
      </c>
      <c r="X44" s="19">
        <f t="shared" si="18"/>
        <v>0</v>
      </c>
      <c r="Z44" s="1" t="s">
        <v>58</v>
      </c>
    </row>
    <row r="45" spans="2:34" ht="13.5" thickBot="1">
      <c r="B45" s="20">
        <v>38524</v>
      </c>
      <c r="C45" s="21">
        <v>0.875</v>
      </c>
      <c r="D45" s="39">
        <f t="shared" si="4"/>
        <v>38</v>
      </c>
      <c r="E45" s="24" t="s">
        <v>67</v>
      </c>
      <c r="F45" s="42"/>
      <c r="G45" s="42"/>
      <c r="H45" s="1" t="s">
        <v>88</v>
      </c>
      <c r="I45" s="1" t="s">
        <v>100</v>
      </c>
      <c r="J45" s="22" t="s">
        <v>76</v>
      </c>
      <c r="K45" s="23" t="s">
        <v>43</v>
      </c>
      <c r="L45" s="1">
        <f>IF(F45&lt;&gt;"",IF(F45&gt;G45,E45,IF(G45&gt;F45,H45,"Draw")),"")</f>
      </c>
      <c r="M45" s="1">
        <f>IF(F45&lt;&gt;"",IF(F45&lt;G45,E45,IF(G45&lt;F45,H45,"Draw")),"")</f>
      </c>
      <c r="O45" s="43"/>
      <c r="P45" s="17" t="str">
        <f t="shared" si="17"/>
        <v>Croatia</v>
      </c>
      <c r="Q45" s="18">
        <f t="shared" si="17"/>
        <v>0</v>
      </c>
      <c r="R45" s="18">
        <f t="shared" si="17"/>
        <v>0</v>
      </c>
      <c r="S45" s="18">
        <f>BS47</f>
        <v>0</v>
      </c>
      <c r="T45" s="18">
        <f>BR47</f>
        <v>0</v>
      </c>
      <c r="U45" s="18">
        <f t="shared" si="18"/>
        <v>0</v>
      </c>
      <c r="V45" s="18">
        <f t="shared" si="18"/>
        <v>0</v>
      </c>
      <c r="W45" s="18">
        <f t="shared" si="18"/>
        <v>0</v>
      </c>
      <c r="X45" s="19">
        <f t="shared" si="18"/>
        <v>0</v>
      </c>
      <c r="AA45" s="1" t="s">
        <v>26</v>
      </c>
      <c r="AB45" s="1" t="s">
        <v>18</v>
      </c>
      <c r="AC45" s="1" t="s">
        <v>19</v>
      </c>
      <c r="AD45" s="1" t="s">
        <v>20</v>
      </c>
      <c r="AE45" s="1" t="s">
        <v>21</v>
      </c>
      <c r="AF45" s="1" t="s">
        <v>22</v>
      </c>
      <c r="AG45" s="1" t="s">
        <v>23</v>
      </c>
      <c r="AH45" s="1" t="s">
        <v>27</v>
      </c>
    </row>
    <row r="46" spans="2:75" ht="13.5" thickBot="1">
      <c r="B46" s="20">
        <v>38524</v>
      </c>
      <c r="C46" s="21">
        <v>0.6666666666666666</v>
      </c>
      <c r="D46" s="39">
        <f t="shared" si="4"/>
        <v>39</v>
      </c>
      <c r="E46" s="24" t="s">
        <v>54</v>
      </c>
      <c r="F46" s="42"/>
      <c r="G46" s="42"/>
      <c r="H46" s="1" t="s">
        <v>40</v>
      </c>
      <c r="I46" s="1" t="s">
        <v>101</v>
      </c>
      <c r="J46" s="22" t="s">
        <v>77</v>
      </c>
      <c r="K46" s="23" t="s">
        <v>20</v>
      </c>
      <c r="L46" s="1">
        <f>IF(F46&lt;&gt;"",IF(F46&gt;G46,E46,IF(G46&gt;F46,H46,"Draw")),"")</f>
      </c>
      <c r="M46" s="1">
        <f>IF(F46&lt;&gt;"",IF(F46&lt;G46,E46,IF(G46&lt;F46,H46,"Draw")),"")</f>
      </c>
      <c r="O46" s="43"/>
      <c r="P46" s="17" t="str">
        <f t="shared" si="17"/>
        <v>Australia</v>
      </c>
      <c r="Q46" s="18">
        <f t="shared" si="17"/>
        <v>0</v>
      </c>
      <c r="R46" s="18">
        <f t="shared" si="17"/>
        <v>0</v>
      </c>
      <c r="S46" s="18">
        <f>BS48</f>
        <v>0</v>
      </c>
      <c r="T46" s="18">
        <f>BR48</f>
        <v>0</v>
      </c>
      <c r="U46" s="18">
        <f t="shared" si="18"/>
        <v>0</v>
      </c>
      <c r="V46" s="18">
        <f t="shared" si="18"/>
        <v>0</v>
      </c>
      <c r="W46" s="18">
        <f t="shared" si="18"/>
        <v>0</v>
      </c>
      <c r="X46" s="19">
        <f t="shared" si="18"/>
        <v>0</v>
      </c>
      <c r="Z46" s="1" t="s">
        <v>42</v>
      </c>
      <c r="AA46" s="1">
        <f>COUNT(Brazil_Played)</f>
        <v>0</v>
      </c>
      <c r="AB46" s="1">
        <f>COUNTIF(Groupstage_Winners,"Brazil")</f>
        <v>0</v>
      </c>
      <c r="AC46" s="1">
        <f>COUNTIF(Groupstage_Losers,"Brazil")</f>
        <v>0</v>
      </c>
      <c r="AD46" s="1">
        <f>AA46-(AB46+AC46)</f>
        <v>0</v>
      </c>
      <c r="AE46" s="1">
        <f>SUM(Brazil_Played)</f>
        <v>0</v>
      </c>
      <c r="AF46" s="1">
        <f>SUM(Brazil_Against)</f>
        <v>0</v>
      </c>
      <c r="AG46" s="1">
        <f>AE46-AF46</f>
        <v>0</v>
      </c>
      <c r="AH46" s="1">
        <f>AB46*Winpoints+AD46*Drawpoints</f>
        <v>0</v>
      </c>
      <c r="AI46" s="1" t="str">
        <f>IF($AH46&gt;=$AH47,$Z46,$Z47)</f>
        <v>Brazil</v>
      </c>
      <c r="AJ46" s="1">
        <f>VLOOKUP($AI46,$Z46:$AH49,9,FALSE)</f>
        <v>0</v>
      </c>
      <c r="AK46" s="1" t="str">
        <f>IF($AJ46&gt;=$AJ48,$AI46,$AI48)</f>
        <v>Brazil</v>
      </c>
      <c r="AL46" s="1">
        <f>VLOOKUP($AK46,$Z46:$AH49,9,FALSE)</f>
        <v>0</v>
      </c>
      <c r="AM46" s="1" t="str">
        <f>IF($AL46&gt;=$AL49,$AK46,$AK49)</f>
        <v>Brazil</v>
      </c>
      <c r="AN46" s="1">
        <f>VLOOKUP($AM46,$Z46:$AH49,9,FALSE)</f>
        <v>0</v>
      </c>
      <c r="AO46" s="1">
        <f>VLOOKUP($AM46,$Z46:$AH49,8,FALSE)</f>
        <v>0</v>
      </c>
      <c r="AP46" s="1" t="str">
        <f>IF(AND($AN46=$AN47,$AO47&gt;$AO46),$AM47,$AM46)</f>
        <v>Brazil</v>
      </c>
      <c r="AQ46" s="1">
        <f>VLOOKUP($AP46,$Z46:$AH49,9,FALSE)</f>
        <v>0</v>
      </c>
      <c r="AR46" s="1">
        <f>VLOOKUP($AP46,$Z46:$AH49,8,FALSE)</f>
        <v>0</v>
      </c>
      <c r="AS46" s="1" t="str">
        <f>IF(AND($AQ46=$AQ48,$AR48&gt;$AR46),$AP48,$AP46)</f>
        <v>Brazil</v>
      </c>
      <c r="AT46" s="1">
        <f>VLOOKUP($AS46,$Z46:$AH49,9,FALSE)</f>
        <v>0</v>
      </c>
      <c r="AU46" s="1">
        <f>VLOOKUP($AS46,$Z46:$AH49,8,FALSE)</f>
        <v>0</v>
      </c>
      <c r="AV46" s="1" t="str">
        <f>IF(AND($AT46=$AT49,$AU49&gt;$AU46),$AS49,$AS46)</f>
        <v>Brazil</v>
      </c>
      <c r="AW46" s="1">
        <f>VLOOKUP($AV46,$Z46:$AH49,9,FALSE)</f>
        <v>0</v>
      </c>
      <c r="AX46" s="1">
        <f>VLOOKUP($AV46,$Z46:$AH49,8,FALSE)</f>
        <v>0</v>
      </c>
      <c r="AY46" s="1">
        <f>VLOOKUP($AV46,$Z46:$AH49,6,FALSE)</f>
        <v>0</v>
      </c>
      <c r="AZ46" s="1" t="str">
        <f>IF(AND($AW46=$AW47,$AX46=$AX47,$AY47&gt;$AY46),$AV47,$AV46)</f>
        <v>Brazil</v>
      </c>
      <c r="BA46" s="1">
        <f>VLOOKUP($AZ46,$Z46:$AH49,9,FALSE)</f>
        <v>0</v>
      </c>
      <c r="BB46" s="1">
        <f>VLOOKUP($AZ46,$Z46:$AH49,8,FALSE)</f>
        <v>0</v>
      </c>
      <c r="BC46" s="1">
        <f>VLOOKUP($AZ46,$Z46:$AH49,6,FALSE)</f>
        <v>0</v>
      </c>
      <c r="BD46" s="1" t="str">
        <f>IF(AND($BA46=$BA48,$BB46=$BB48,$BC48&gt;$BC46),$AZ48,$AZ46)</f>
        <v>Brazil</v>
      </c>
      <c r="BE46" s="1">
        <f>VLOOKUP($BD46,$Z46:$AH49,9,FALSE)</f>
        <v>0</v>
      </c>
      <c r="BF46" s="1">
        <f>VLOOKUP($BD46,$Z46:$AH49,8,FALSE)</f>
        <v>0</v>
      </c>
      <c r="BG46" s="1">
        <f>VLOOKUP($BD46,$Z46:$AH49,6,FALSE)</f>
        <v>0</v>
      </c>
      <c r="BH46" s="1" t="str">
        <f>IF(AND($BE46=$BE49,$BF46=$BF49,$BG49&gt;$BG46),$BD49,$BD46)</f>
        <v>Brazil</v>
      </c>
      <c r="BI46" s="1">
        <f>VLOOKUP($BH46,$Z46:$AH49,9,FALSE)</f>
        <v>0</v>
      </c>
      <c r="BJ46" s="1">
        <f>VLOOKUP($BH46,$Z46:$AH49,8,FALSE)</f>
        <v>0</v>
      </c>
      <c r="BK46" s="1">
        <f>VLOOKUP($BH46,$Z46:$AH49,6,FALSE)</f>
        <v>0</v>
      </c>
      <c r="BO46" s="1" t="str">
        <f>BH46</f>
        <v>Brazil</v>
      </c>
      <c r="BP46" s="1">
        <f>VLOOKUP($BO46,$Z46:$AH49,2,FALSE)</f>
        <v>0</v>
      </c>
      <c r="BQ46" s="1">
        <f>VLOOKUP($BO46,$Z46:$AH49,3,FALSE)</f>
        <v>0</v>
      </c>
      <c r="BR46" s="1">
        <f>VLOOKUP($BO46,$Z46:$AH49,4,FALSE)</f>
        <v>0</v>
      </c>
      <c r="BS46" s="1">
        <f>VLOOKUP($BO46,$Z46:$AH49,5,FALSE)</f>
        <v>0</v>
      </c>
      <c r="BT46" s="1">
        <f>VLOOKUP($BO46,$Z46:$AH49,6,FALSE)</f>
        <v>0</v>
      </c>
      <c r="BU46" s="1">
        <f>VLOOKUP($BO46,$Z46:$AH49,7,FALSE)</f>
        <v>0</v>
      </c>
      <c r="BV46" s="1">
        <f>VLOOKUP($BO46,$Z46:$AH49,8,FALSE)</f>
        <v>0</v>
      </c>
      <c r="BW46" s="1">
        <f>VLOOKUP($BO46,$Z46:$AH49,9,FALSE)</f>
        <v>0</v>
      </c>
    </row>
    <row r="47" spans="2:75" ht="13.5" thickBot="1">
      <c r="B47" s="20">
        <v>38524</v>
      </c>
      <c r="C47" s="21">
        <v>0.6666666666666666</v>
      </c>
      <c r="D47" s="39">
        <f t="shared" si="4"/>
        <v>40</v>
      </c>
      <c r="E47" s="24" t="s">
        <v>70</v>
      </c>
      <c r="F47" s="42"/>
      <c r="G47" s="42"/>
      <c r="H47" s="1" t="s">
        <v>69</v>
      </c>
      <c r="I47" s="1" t="s">
        <v>99</v>
      </c>
      <c r="J47" s="22" t="s">
        <v>81</v>
      </c>
      <c r="K47" s="23" t="s">
        <v>20</v>
      </c>
      <c r="L47" s="1">
        <f>IF(F47&lt;&gt;"",IF(F47&gt;G47,E47,IF(G47&gt;F47,H47,"Draw")),"")</f>
      </c>
      <c r="M47" s="1">
        <f>IF(F47&lt;&gt;"",IF(F47&lt;G47,E47,IF(G47&lt;F47,H47,"Draw")),"")</f>
      </c>
      <c r="O47" s="43"/>
      <c r="P47" s="25" t="str">
        <f t="shared" si="17"/>
        <v>Japan</v>
      </c>
      <c r="Q47" s="26">
        <f t="shared" si="17"/>
        <v>0</v>
      </c>
      <c r="R47" s="26">
        <f t="shared" si="17"/>
        <v>0</v>
      </c>
      <c r="S47" s="26">
        <f>BS49</f>
        <v>0</v>
      </c>
      <c r="T47" s="26">
        <f>BR49</f>
        <v>0</v>
      </c>
      <c r="U47" s="26">
        <f t="shared" si="18"/>
        <v>0</v>
      </c>
      <c r="V47" s="26">
        <f t="shared" si="18"/>
        <v>0</v>
      </c>
      <c r="W47" s="26">
        <f t="shared" si="18"/>
        <v>0</v>
      </c>
      <c r="X47" s="27">
        <f t="shared" si="18"/>
        <v>0</v>
      </c>
      <c r="Z47" s="1" t="s">
        <v>39</v>
      </c>
      <c r="AA47" s="1">
        <f>COUNT(Croatia_Played)</f>
        <v>0</v>
      </c>
      <c r="AB47" s="1">
        <f>COUNTIF(Groupstage_Winners,"Croatia")</f>
        <v>0</v>
      </c>
      <c r="AC47" s="1">
        <f>COUNTIF(Groupstage_Losers,"Croatia")</f>
        <v>0</v>
      </c>
      <c r="AD47" s="1">
        <f>AA47-(AB47+AC47)</f>
        <v>0</v>
      </c>
      <c r="AE47" s="1">
        <f>SUM(Croatia_Played)</f>
        <v>0</v>
      </c>
      <c r="AF47" s="1">
        <f>SUM(Croatia_Against)</f>
        <v>0</v>
      </c>
      <c r="AG47" s="1">
        <f>AE47-AF47</f>
        <v>0</v>
      </c>
      <c r="AH47" s="1">
        <f>AB47*Winpoints+AD47*Drawpoints</f>
        <v>0</v>
      </c>
      <c r="AI47" s="1" t="str">
        <f>IF($AH47&lt;=$AH46,$Z47,$Z46)</f>
        <v>Croatia</v>
      </c>
      <c r="AJ47" s="1">
        <f>VLOOKUP($AI47,$Z46:$AH49,9,FALSE)</f>
        <v>0</v>
      </c>
      <c r="AK47" s="1" t="str">
        <f>IF(AJ47&gt;=AJ49,AI47,AI49)</f>
        <v>Croatia</v>
      </c>
      <c r="AL47" s="1">
        <f>VLOOKUP($AK47,$Z46:$AH49,9,FALSE)</f>
        <v>0</v>
      </c>
      <c r="AM47" s="1" t="str">
        <f>IF($AL47&gt;=$AL48,$AK47,$AK48)</f>
        <v>Croatia</v>
      </c>
      <c r="AN47" s="1">
        <f>VLOOKUP($AM47,$Z46:$AH49,9,FALSE)</f>
        <v>0</v>
      </c>
      <c r="AO47" s="1">
        <f>VLOOKUP($AM47,$Z46:$AH49,8,FALSE)</f>
        <v>0</v>
      </c>
      <c r="AP47" s="1" t="str">
        <f>IF(AND($AN46=$AN47,$AO47&gt;$AO46),$AM46,$AM47)</f>
        <v>Croatia</v>
      </c>
      <c r="AQ47" s="1">
        <f>VLOOKUP($AP47,$Z46:$AH49,9,FALSE)</f>
        <v>0</v>
      </c>
      <c r="AR47" s="1">
        <f>VLOOKUP($AP47,$Z46:$AH49,8,FALSE)</f>
        <v>0</v>
      </c>
      <c r="AS47" s="1" t="str">
        <f>IF(AND($AQ47=$AQ49,$AR49&gt;$AR47),$AP49,$AP47)</f>
        <v>Croatia</v>
      </c>
      <c r="AT47" s="1">
        <f>VLOOKUP($AS47,$Z46:$AH49,9,FALSE)</f>
        <v>0</v>
      </c>
      <c r="AU47" s="1">
        <f>VLOOKUP($AS47,$Z46:$AH49,8,FALSE)</f>
        <v>0</v>
      </c>
      <c r="AV47" s="1" t="str">
        <f>IF(AND($AT47=$AT48,$AU48&gt;$AU47),$AS48,$AS47)</f>
        <v>Croatia</v>
      </c>
      <c r="AW47" s="1">
        <f>VLOOKUP($AV47,$Z46:$AH49,9,FALSE)</f>
        <v>0</v>
      </c>
      <c r="AX47" s="1">
        <f>VLOOKUP($AV47,$Z46:$AH49,8,FALSE)</f>
        <v>0</v>
      </c>
      <c r="AY47" s="1">
        <f>VLOOKUP($AV47,$Z46:$AH49,6,FALSE)</f>
        <v>0</v>
      </c>
      <c r="AZ47" s="1" t="str">
        <f>IF(AND($AW46=$AW47,$AX46=$AX47,$AY47&gt;$AY46),$AV46,$AV47)</f>
        <v>Croatia</v>
      </c>
      <c r="BA47" s="1">
        <f>VLOOKUP($AZ47,$Z46:$AH49,9,FALSE)</f>
        <v>0</v>
      </c>
      <c r="BB47" s="1">
        <f>VLOOKUP($AZ47,$Z46:$AH49,8,FALSE)</f>
        <v>0</v>
      </c>
      <c r="BC47" s="1">
        <f>VLOOKUP($AZ47,$Z46:$AH49,6,FALSE)</f>
        <v>0</v>
      </c>
      <c r="BD47" s="1" t="str">
        <f>IF(AND($BA47=$BA49,$BB47=$BB49,$BC49&gt;$BC47),$AZ49,$AZ47)</f>
        <v>Croatia</v>
      </c>
      <c r="BE47" s="1">
        <f>VLOOKUP($BD47,$Z46:$AH49,9,FALSE)</f>
        <v>0</v>
      </c>
      <c r="BF47" s="1">
        <f>VLOOKUP($BD47,$Z46:$AH49,8,FALSE)</f>
        <v>0</v>
      </c>
      <c r="BG47" s="1">
        <f>VLOOKUP($BD47,$Z46:$AH49,6,FALSE)</f>
        <v>0</v>
      </c>
      <c r="BH47" s="1" t="str">
        <f>IF(AND($BE47=$BE48,$BF47=$BF48,$BG48&gt;$BG47),$BD48,$BD47)</f>
        <v>Croatia</v>
      </c>
      <c r="BI47" s="1">
        <f>VLOOKUP($BH47,$Z46:$AH49,9,FALSE)</f>
        <v>0</v>
      </c>
      <c r="BJ47" s="1">
        <f>VLOOKUP($BH47,$Z46:$AH49,8,FALSE)</f>
        <v>0</v>
      </c>
      <c r="BK47" s="1">
        <f>VLOOKUP($BH47,$Z46:$AH49,6,FALSE)</f>
        <v>0</v>
      </c>
      <c r="BO47" s="1" t="str">
        <f>BH47</f>
        <v>Croatia</v>
      </c>
      <c r="BP47" s="1">
        <f>VLOOKUP($BO47,$Z46:$AH49,2,FALSE)</f>
        <v>0</v>
      </c>
      <c r="BQ47" s="1">
        <f>VLOOKUP($BO47,$Z46:$AH49,3,FALSE)</f>
        <v>0</v>
      </c>
      <c r="BR47" s="1">
        <f>VLOOKUP($BO47,$Z46:$AH49,4,FALSE)</f>
        <v>0</v>
      </c>
      <c r="BS47" s="1">
        <f>VLOOKUP($BO47,$Z46:$AH49,5,FALSE)</f>
        <v>0</v>
      </c>
      <c r="BT47" s="1">
        <f>VLOOKUP($BO47,$Z46:$AH49,6,FALSE)</f>
        <v>0</v>
      </c>
      <c r="BU47" s="1">
        <f>VLOOKUP($BO47,$Z46:$AH49,7,FALSE)</f>
        <v>0</v>
      </c>
      <c r="BV47" s="1">
        <f>VLOOKUP($BO47,$Z46:$AH49,8,FALSE)</f>
        <v>0</v>
      </c>
      <c r="BW47" s="1">
        <f>VLOOKUP($BO47,$Z46:$AH49,9,FALSE)</f>
        <v>0</v>
      </c>
    </row>
    <row r="48" spans="2:75" ht="13.5" thickBot="1">
      <c r="B48" s="20">
        <v>38525</v>
      </c>
      <c r="C48" s="21">
        <v>0.6666666666666666</v>
      </c>
      <c r="D48" s="39">
        <f t="shared" si="4"/>
        <v>41</v>
      </c>
      <c r="E48" s="24" t="s">
        <v>89</v>
      </c>
      <c r="F48" s="42"/>
      <c r="G48" s="42"/>
      <c r="H48" s="1" t="s">
        <v>44</v>
      </c>
      <c r="I48" s="1" t="s">
        <v>102</v>
      </c>
      <c r="J48" s="22" t="s">
        <v>80</v>
      </c>
      <c r="K48" s="23" t="s">
        <v>29</v>
      </c>
      <c r="L48" s="1">
        <f t="shared" si="13"/>
      </c>
      <c r="M48" s="1">
        <f t="shared" si="14"/>
      </c>
      <c r="Z48" s="1" t="s">
        <v>72</v>
      </c>
      <c r="AA48" s="1">
        <f>COUNT(Australia_Played)</f>
        <v>0</v>
      </c>
      <c r="AB48" s="1">
        <f>COUNTIF(Groupstage_Winners,"Australia")</f>
        <v>0</v>
      </c>
      <c r="AC48" s="1">
        <f>COUNTIF(Groupstage_Losers,"Australia")</f>
        <v>0</v>
      </c>
      <c r="AD48" s="1">
        <f>AA48-(AB48+AC48)</f>
        <v>0</v>
      </c>
      <c r="AE48" s="1">
        <f>SUM(Australia_Played)</f>
        <v>0</v>
      </c>
      <c r="AF48" s="1">
        <f>SUM(Australia_Against)</f>
        <v>0</v>
      </c>
      <c r="AG48" s="1">
        <f>AE48-AF48</f>
        <v>0</v>
      </c>
      <c r="AH48" s="1">
        <f>AB48*Winpoints+AD48*Drawpoints</f>
        <v>0</v>
      </c>
      <c r="AI48" s="1" t="str">
        <f>IF($AH48&gt;=$AH49,$Z48,$Z49)</f>
        <v>Australia</v>
      </c>
      <c r="AJ48" s="1">
        <f>VLOOKUP($AI48,$Z46:$AH49,9,FALSE)</f>
        <v>0</v>
      </c>
      <c r="AK48" s="1" t="str">
        <f>IF($AJ48&lt;=$AJ46,$AI48,$AI46)</f>
        <v>Australia</v>
      </c>
      <c r="AL48" s="1">
        <f>VLOOKUP($AK48,$Z46:$AH49,9,FALSE)</f>
        <v>0</v>
      </c>
      <c r="AM48" s="1" t="str">
        <f>IF($AL48&lt;=$AL47,$AK48,$AK47)</f>
        <v>Australia</v>
      </c>
      <c r="AN48" s="1">
        <f>VLOOKUP($AM48,$Z46:$AH49,9,FALSE)</f>
        <v>0</v>
      </c>
      <c r="AO48" s="1">
        <f>VLOOKUP($AM48,$Z46:$AH49,8,FALSE)</f>
        <v>0</v>
      </c>
      <c r="AP48" s="1" t="str">
        <f>IF(AND($AN48=$AN49,$AO49&gt;$AO48),$AM49,$AM48)</f>
        <v>Australia</v>
      </c>
      <c r="AQ48" s="1">
        <f>VLOOKUP($AP48,$Z46:$AH49,9,FALSE)</f>
        <v>0</v>
      </c>
      <c r="AR48" s="1">
        <f>VLOOKUP($AP48,$Z46:$AH49,8,FALSE)</f>
        <v>0</v>
      </c>
      <c r="AS48" s="1" t="str">
        <f>IF(AND($AQ46=$AQ48,$AR48&gt;$AR46),$AP46,$AP48)</f>
        <v>Australia</v>
      </c>
      <c r="AT48" s="1">
        <f>VLOOKUP($AS48,$Z46:$AH49,9,FALSE)</f>
        <v>0</v>
      </c>
      <c r="AU48" s="1">
        <f>VLOOKUP($AS48,$Z46:$AH49,8,FALSE)</f>
        <v>0</v>
      </c>
      <c r="AV48" s="1" t="str">
        <f>IF(AND($AT47=$AT48,$AU48&gt;$AU47),$AS47,$AS48)</f>
        <v>Australia</v>
      </c>
      <c r="AW48" s="1">
        <f>VLOOKUP($AV48,$Z46:$AH49,9,FALSE)</f>
        <v>0</v>
      </c>
      <c r="AX48" s="1">
        <f>VLOOKUP($AV48,$Z46:$AH49,8,FALSE)</f>
        <v>0</v>
      </c>
      <c r="AY48" s="1">
        <f>VLOOKUP($AV48,$Z46:$AH49,6,FALSE)</f>
        <v>0</v>
      </c>
      <c r="AZ48" s="1" t="str">
        <f>IF(AND($AW48=$AW49,$AX48=$AX49,$AY49&gt;$AY48),$AV49,$AV48)</f>
        <v>Australia</v>
      </c>
      <c r="BA48" s="1">
        <f>VLOOKUP($AZ48,$Z46:$AH49,9,FALSE)</f>
        <v>0</v>
      </c>
      <c r="BB48" s="1">
        <f>VLOOKUP($AZ48,$Z46:$AH49,8,FALSE)</f>
        <v>0</v>
      </c>
      <c r="BC48" s="1">
        <f>VLOOKUP($AZ48,$Z46:$AH49,6,FALSE)</f>
        <v>0</v>
      </c>
      <c r="BD48" s="1" t="str">
        <f>IF(AND($BA46=$BA48,$BB46=$BB48,$BC48&gt;$BC46),$AZ46,$AZ48)</f>
        <v>Australia</v>
      </c>
      <c r="BE48" s="1">
        <f>VLOOKUP($BD48,$Z46:$AH49,9,FALSE)</f>
        <v>0</v>
      </c>
      <c r="BF48" s="1">
        <f>VLOOKUP($BD48,$Z46:$AH49,8,FALSE)</f>
        <v>0</v>
      </c>
      <c r="BG48" s="1">
        <f>VLOOKUP($BD48,$Z46:$AH49,6,FALSE)</f>
        <v>0</v>
      </c>
      <c r="BH48" s="1" t="str">
        <f>IF(AND($BE47=$BE48,$BF47=$BF48,$BG48&gt;$BG47),$BD47,$BD48)</f>
        <v>Australia</v>
      </c>
      <c r="BI48" s="1">
        <f>VLOOKUP($BH48,$Z46:$AH49,9,FALSE)</f>
        <v>0</v>
      </c>
      <c r="BJ48" s="1">
        <f>VLOOKUP($BH48,$Z46:$AH49,8,FALSE)</f>
        <v>0</v>
      </c>
      <c r="BK48" s="1">
        <f>VLOOKUP($BH48,$Z46:$AH49,6,FALSE)</f>
        <v>0</v>
      </c>
      <c r="BO48" s="1" t="str">
        <f>BH48</f>
        <v>Australia</v>
      </c>
      <c r="BP48" s="1">
        <f>VLOOKUP($BO48,$Z46:$AH49,2,FALSE)</f>
        <v>0</v>
      </c>
      <c r="BQ48" s="1">
        <f>VLOOKUP($BO48,$Z46:$AH49,3,FALSE)</f>
        <v>0</v>
      </c>
      <c r="BR48" s="1">
        <f>VLOOKUP($BO48,$Z46:$AH49,4,FALSE)</f>
        <v>0</v>
      </c>
      <c r="BS48" s="1">
        <f>VLOOKUP($BO48,$Z46:$AH49,5,FALSE)</f>
        <v>0</v>
      </c>
      <c r="BT48" s="1">
        <f>VLOOKUP($BO48,$Z46:$AH49,6,FALSE)</f>
        <v>0</v>
      </c>
      <c r="BU48" s="1">
        <f>VLOOKUP($BO48,$Z46:$AH49,7,FALSE)</f>
        <v>0</v>
      </c>
      <c r="BV48" s="1">
        <f>VLOOKUP($BO48,$Z46:$AH49,8,FALSE)</f>
        <v>0</v>
      </c>
      <c r="BW48" s="1">
        <f>VLOOKUP($BO48,$Z46:$AH49,9,FALSE)</f>
        <v>0</v>
      </c>
    </row>
    <row r="49" spans="2:75" ht="15.75" thickBot="1">
      <c r="B49" s="20">
        <v>38525</v>
      </c>
      <c r="C49" s="21">
        <v>0.6666666666666666</v>
      </c>
      <c r="D49" s="39">
        <f t="shared" si="4"/>
        <v>42</v>
      </c>
      <c r="E49" s="24" t="s">
        <v>71</v>
      </c>
      <c r="F49" s="42"/>
      <c r="G49" s="42"/>
      <c r="H49" s="1" t="s">
        <v>53</v>
      </c>
      <c r="I49" s="1" t="s">
        <v>97</v>
      </c>
      <c r="J49" s="22" t="s">
        <v>82</v>
      </c>
      <c r="K49" s="23" t="s">
        <v>29</v>
      </c>
      <c r="L49" s="1">
        <f t="shared" si="13"/>
      </c>
      <c r="M49" s="1">
        <f t="shared" si="14"/>
      </c>
      <c r="O49" s="44"/>
      <c r="P49" s="4" t="s">
        <v>59</v>
      </c>
      <c r="Q49" s="5"/>
      <c r="R49" s="5"/>
      <c r="S49" s="5"/>
      <c r="T49" s="5"/>
      <c r="U49" s="5"/>
      <c r="V49" s="5"/>
      <c r="W49" s="5"/>
      <c r="X49" s="6"/>
      <c r="Z49" s="1" t="s">
        <v>48</v>
      </c>
      <c r="AA49" s="1">
        <f>COUNT(Japan_Played)</f>
        <v>0</v>
      </c>
      <c r="AB49" s="1">
        <f>COUNTIF(Groupstage_Winners,"Japan")</f>
        <v>0</v>
      </c>
      <c r="AC49" s="1">
        <f>COUNTIF(Groupstage_Losers,"Japan")</f>
        <v>0</v>
      </c>
      <c r="AD49" s="1">
        <f>AA49-(AB49+AC49)</f>
        <v>0</v>
      </c>
      <c r="AE49" s="1">
        <f>SUM(Japan_Played)</f>
        <v>0</v>
      </c>
      <c r="AF49" s="1">
        <f>SUM(Japan_Against)</f>
        <v>0</v>
      </c>
      <c r="AG49" s="1">
        <f>AE49-AF49</f>
        <v>0</v>
      </c>
      <c r="AH49" s="1">
        <f>AB49*Winpoints+AD49*Drawpoints</f>
        <v>0</v>
      </c>
      <c r="AI49" s="1" t="str">
        <f>IF($AH49&lt;=$AH48,$Z49,$Z48)</f>
        <v>Japan</v>
      </c>
      <c r="AJ49" s="1">
        <f>VLOOKUP($AI49,$Z46:$AH49,9,FALSE)</f>
        <v>0</v>
      </c>
      <c r="AK49" s="1" t="str">
        <f>IF(AJ49&lt;=AJ47,AI49,AI47)</f>
        <v>Japan</v>
      </c>
      <c r="AL49" s="1">
        <f>VLOOKUP($AK49,$Z46:$AH49,9,FALSE)</f>
        <v>0</v>
      </c>
      <c r="AM49" s="1" t="str">
        <f>IF($AL49&lt;=$AL46,$AK49,$AK46)</f>
        <v>Japan</v>
      </c>
      <c r="AN49" s="1">
        <f>VLOOKUP($AM49,$Z46:$AH49,9,FALSE)</f>
        <v>0</v>
      </c>
      <c r="AO49" s="1">
        <f>VLOOKUP($AM49,$Z46:$AH49,8,FALSE)</f>
        <v>0</v>
      </c>
      <c r="AP49" s="1" t="str">
        <f>IF(AND($AN48=$AN49,$AO49&gt;$AO48),$AM48,$AM49)</f>
        <v>Japan</v>
      </c>
      <c r="AQ49" s="1">
        <f>VLOOKUP($AP49,$Z46:$AH49,9,FALSE)</f>
        <v>0</v>
      </c>
      <c r="AR49" s="1">
        <f>VLOOKUP($AP49,$Z46:$AH49,8,FALSE)</f>
        <v>0</v>
      </c>
      <c r="AS49" s="1" t="str">
        <f>IF(AND($AQ47=$AQ49,$AR49&gt;$AR47),$AP47,$AP49)</f>
        <v>Japan</v>
      </c>
      <c r="AT49" s="1">
        <f>VLOOKUP($AS49,$Z46:$AH49,9,FALSE)</f>
        <v>0</v>
      </c>
      <c r="AU49" s="1">
        <f>VLOOKUP($AS49,$Z46:$AH49,8,FALSE)</f>
        <v>0</v>
      </c>
      <c r="AV49" s="1" t="str">
        <f>IF(AND($AT46=$AT49,$AU49&gt;$AU46),$AS46,$AS49)</f>
        <v>Japan</v>
      </c>
      <c r="AW49" s="1">
        <f>VLOOKUP($AV49,$Z46:$AH49,9,FALSE)</f>
        <v>0</v>
      </c>
      <c r="AX49" s="1">
        <f>VLOOKUP($AV49,$Z46:$AH49,8,FALSE)</f>
        <v>0</v>
      </c>
      <c r="AY49" s="1">
        <f>VLOOKUP($AV49,$Z46:$AH49,6,FALSE)</f>
        <v>0</v>
      </c>
      <c r="AZ49" s="1" t="str">
        <f>IF(AND($AW48=$AW49,$AX48=$AX49,$AY49&gt;$AY48),$AV48,$AV49)</f>
        <v>Japan</v>
      </c>
      <c r="BA49" s="1">
        <f>VLOOKUP($AZ49,$Z46:$AH49,9,FALSE)</f>
        <v>0</v>
      </c>
      <c r="BB49" s="1">
        <f>VLOOKUP($AZ49,$Z46:$AH49,8,FALSE)</f>
        <v>0</v>
      </c>
      <c r="BC49" s="1">
        <f>VLOOKUP($AZ49,$Z46:$AH49,6,FALSE)</f>
        <v>0</v>
      </c>
      <c r="BD49" s="1" t="str">
        <f>IF(AND($BA47=$BA49,$BB47=$BB49,$BC49&gt;$BC47),$AZ47,$AZ49)</f>
        <v>Japan</v>
      </c>
      <c r="BE49" s="1">
        <f>VLOOKUP($BD49,$Z46:$AH49,9,FALSE)</f>
        <v>0</v>
      </c>
      <c r="BF49" s="1">
        <f>VLOOKUP($BD49,$Z46:$AH49,8,FALSE)</f>
        <v>0</v>
      </c>
      <c r="BG49" s="1">
        <f>VLOOKUP($BD49,$Z46:$AH49,6,FALSE)</f>
        <v>0</v>
      </c>
      <c r="BH49" s="1" t="str">
        <f>IF(AND($BE46=$BE49,$BF46=$BF49,$BG49&gt;$BG46),$BD46,$BD49)</f>
        <v>Japan</v>
      </c>
      <c r="BI49" s="1">
        <f>VLOOKUP($BH49,$Z46:$AH49,9,FALSE)</f>
        <v>0</v>
      </c>
      <c r="BJ49" s="1">
        <f>VLOOKUP($BH49,$Z46:$AH49,8,FALSE)</f>
        <v>0</v>
      </c>
      <c r="BK49" s="1">
        <f>VLOOKUP($BH49,$Z46:$AH49,6,FALSE)</f>
        <v>0</v>
      </c>
      <c r="BO49" s="1" t="str">
        <f>BH49</f>
        <v>Japan</v>
      </c>
      <c r="BP49" s="1">
        <f>VLOOKUP($BO49,$Z46:$AH49,2,FALSE)</f>
        <v>0</v>
      </c>
      <c r="BQ49" s="1">
        <f>VLOOKUP($BO49,$Z46:$AH49,3,FALSE)</f>
        <v>0</v>
      </c>
      <c r="BR49" s="1">
        <f>VLOOKUP($BO49,$Z46:$AH49,4,FALSE)</f>
        <v>0</v>
      </c>
      <c r="BS49" s="1">
        <f>VLOOKUP($BO49,$Z46:$AH49,5,FALSE)</f>
        <v>0</v>
      </c>
      <c r="BT49" s="1">
        <f>VLOOKUP($BO49,$Z46:$AH49,6,FALSE)</f>
        <v>0</v>
      </c>
      <c r="BU49" s="1">
        <f>VLOOKUP($BO49,$Z46:$AH49,7,FALSE)</f>
        <v>0</v>
      </c>
      <c r="BV49" s="1">
        <f>VLOOKUP($BO49,$Z46:$AH49,8,FALSE)</f>
        <v>0</v>
      </c>
      <c r="BW49" s="1">
        <f>VLOOKUP($BO49,$Z46:$AH49,9,FALSE)</f>
        <v>0</v>
      </c>
    </row>
    <row r="50" spans="2:24" ht="13.5" thickBot="1">
      <c r="B50" s="20">
        <v>38525</v>
      </c>
      <c r="C50" s="21">
        <v>0.875</v>
      </c>
      <c r="D50" s="39">
        <f t="shared" si="4"/>
        <v>43</v>
      </c>
      <c r="E50" s="24" t="s">
        <v>48</v>
      </c>
      <c r="F50" s="42"/>
      <c r="G50" s="42"/>
      <c r="H50" s="1" t="s">
        <v>42</v>
      </c>
      <c r="I50" s="1" t="s">
        <v>94</v>
      </c>
      <c r="J50" s="22" t="s">
        <v>79</v>
      </c>
      <c r="K50" s="23" t="s">
        <v>21</v>
      </c>
      <c r="L50" s="1">
        <f t="shared" si="13"/>
      </c>
      <c r="M50" s="1">
        <f t="shared" si="14"/>
      </c>
      <c r="O50" s="45" t="s">
        <v>106</v>
      </c>
      <c r="P50" s="41" t="s">
        <v>28</v>
      </c>
      <c r="Q50" s="11" t="s">
        <v>17</v>
      </c>
      <c r="R50" s="11" t="s">
        <v>18</v>
      </c>
      <c r="S50" s="11" t="s">
        <v>20</v>
      </c>
      <c r="T50" s="11" t="s">
        <v>19</v>
      </c>
      <c r="U50" s="11" t="s">
        <v>21</v>
      </c>
      <c r="V50" s="11" t="s">
        <v>22</v>
      </c>
      <c r="W50" s="11" t="s">
        <v>23</v>
      </c>
      <c r="X50" s="12" t="s">
        <v>24</v>
      </c>
    </row>
    <row r="51" spans="2:26" ht="13.5" thickBot="1">
      <c r="B51" s="20">
        <v>38525</v>
      </c>
      <c r="C51" s="21">
        <v>0.875</v>
      </c>
      <c r="D51" s="39">
        <f t="shared" si="4"/>
        <v>44</v>
      </c>
      <c r="E51" s="24" t="s">
        <v>39</v>
      </c>
      <c r="F51" s="42"/>
      <c r="G51" s="42"/>
      <c r="H51" s="1" t="s">
        <v>72</v>
      </c>
      <c r="I51" s="1" t="s">
        <v>98</v>
      </c>
      <c r="J51" s="22" t="s">
        <v>86</v>
      </c>
      <c r="K51" s="23" t="s">
        <v>21</v>
      </c>
      <c r="L51" s="1">
        <f t="shared" si="13"/>
      </c>
      <c r="M51" s="1">
        <f t="shared" si="14"/>
      </c>
      <c r="O51" s="43"/>
      <c r="P51" s="17" t="str">
        <f aca="true" t="shared" si="19" ref="P51:R54">BO53</f>
        <v>France</v>
      </c>
      <c r="Q51" s="18">
        <f t="shared" si="19"/>
        <v>0</v>
      </c>
      <c r="R51" s="18">
        <f t="shared" si="19"/>
        <v>0</v>
      </c>
      <c r="S51" s="18">
        <f>BS53</f>
        <v>0</v>
      </c>
      <c r="T51" s="18">
        <f>BR53</f>
        <v>0</v>
      </c>
      <c r="U51" s="18">
        <f aca="true" t="shared" si="20" ref="U51:X54">BT53</f>
        <v>0</v>
      </c>
      <c r="V51" s="18">
        <f t="shared" si="20"/>
        <v>0</v>
      </c>
      <c r="W51" s="18">
        <f t="shared" si="20"/>
        <v>0</v>
      </c>
      <c r="X51" s="19">
        <f t="shared" si="20"/>
        <v>0</v>
      </c>
      <c r="Z51" s="1" t="s">
        <v>59</v>
      </c>
    </row>
    <row r="52" spans="2:34" ht="13.5" thickBot="1">
      <c r="B52" s="20">
        <v>38526</v>
      </c>
      <c r="C52" s="21">
        <v>0.875</v>
      </c>
      <c r="D52" s="39">
        <f t="shared" si="4"/>
        <v>45</v>
      </c>
      <c r="E52" s="24" t="s">
        <v>74</v>
      </c>
      <c r="F52" s="42"/>
      <c r="G52" s="42"/>
      <c r="H52" s="1" t="s">
        <v>25</v>
      </c>
      <c r="I52" s="1" t="s">
        <v>104</v>
      </c>
      <c r="J52" s="22" t="s">
        <v>83</v>
      </c>
      <c r="K52" s="23" t="s">
        <v>41</v>
      </c>
      <c r="L52" s="1">
        <f>IF(F52&lt;&gt;"",IF(F52&gt;G52,E52,IF(G52&gt;F52,H52,"Draw")),"")</f>
      </c>
      <c r="M52" s="1">
        <f>IF(F52&lt;&gt;"",IF(F52&lt;G52,E52,IF(G52&lt;F52,H52,"Draw")),"")</f>
      </c>
      <c r="O52" s="43"/>
      <c r="P52" s="17" t="str">
        <f t="shared" si="19"/>
        <v>Switzerland</v>
      </c>
      <c r="Q52" s="18">
        <f t="shared" si="19"/>
        <v>0</v>
      </c>
      <c r="R52" s="18">
        <f t="shared" si="19"/>
        <v>0</v>
      </c>
      <c r="S52" s="18">
        <f>BS54</f>
        <v>0</v>
      </c>
      <c r="T52" s="18">
        <f>BR54</f>
        <v>0</v>
      </c>
      <c r="U52" s="18">
        <f t="shared" si="20"/>
        <v>0</v>
      </c>
      <c r="V52" s="18">
        <f t="shared" si="20"/>
        <v>0</v>
      </c>
      <c r="W52" s="18">
        <f t="shared" si="20"/>
        <v>0</v>
      </c>
      <c r="X52" s="19">
        <f t="shared" si="20"/>
        <v>0</v>
      </c>
      <c r="AA52" s="1" t="s">
        <v>26</v>
      </c>
      <c r="AB52" s="1" t="s">
        <v>18</v>
      </c>
      <c r="AC52" s="1" t="s">
        <v>19</v>
      </c>
      <c r="AD52" s="1" t="s">
        <v>20</v>
      </c>
      <c r="AE52" s="1" t="s">
        <v>21</v>
      </c>
      <c r="AF52" s="1" t="s">
        <v>22</v>
      </c>
      <c r="AG52" s="1" t="s">
        <v>23</v>
      </c>
      <c r="AH52" s="1" t="s">
        <v>27</v>
      </c>
    </row>
    <row r="53" spans="2:75" ht="13.5" thickBot="1">
      <c r="B53" s="20">
        <v>38526</v>
      </c>
      <c r="C53" s="21">
        <v>0.875</v>
      </c>
      <c r="D53" s="39">
        <f t="shared" si="4"/>
        <v>46</v>
      </c>
      <c r="E53" s="24" t="s">
        <v>73</v>
      </c>
      <c r="F53" s="42"/>
      <c r="G53" s="42"/>
      <c r="H53" s="1" t="s">
        <v>50</v>
      </c>
      <c r="I53" s="1" t="s">
        <v>103</v>
      </c>
      <c r="J53" s="22" t="s">
        <v>84</v>
      </c>
      <c r="K53" s="23" t="s">
        <v>41</v>
      </c>
      <c r="L53" s="1">
        <f>IF(F53&lt;&gt;"",IF(F53&gt;G53,E53,IF(G53&gt;F53,H53,"Draw")),"")</f>
      </c>
      <c r="M53" s="1">
        <f>IF(F53&lt;&gt;"",IF(F53&lt;G53,E53,IF(G53&lt;F53,H53,"Draw")),"")</f>
      </c>
      <c r="O53" s="43"/>
      <c r="P53" s="17" t="str">
        <f t="shared" si="19"/>
        <v>South Korea</v>
      </c>
      <c r="Q53" s="18">
        <f t="shared" si="19"/>
        <v>0</v>
      </c>
      <c r="R53" s="18">
        <f t="shared" si="19"/>
        <v>0</v>
      </c>
      <c r="S53" s="18">
        <f>BS55</f>
        <v>0</v>
      </c>
      <c r="T53" s="18">
        <f>BR55</f>
        <v>0</v>
      </c>
      <c r="U53" s="18">
        <f t="shared" si="20"/>
        <v>0</v>
      </c>
      <c r="V53" s="18">
        <f t="shared" si="20"/>
        <v>0</v>
      </c>
      <c r="W53" s="18">
        <f t="shared" si="20"/>
        <v>0</v>
      </c>
      <c r="X53" s="19">
        <f t="shared" si="20"/>
        <v>0</v>
      </c>
      <c r="Z53" s="1" t="s">
        <v>25</v>
      </c>
      <c r="AA53" s="1">
        <f>COUNT(France_Played)</f>
        <v>0</v>
      </c>
      <c r="AB53" s="1">
        <f>COUNTIF(Groupstage_Winners,"France")</f>
        <v>0</v>
      </c>
      <c r="AC53" s="1">
        <f>COUNTIF(Groupstage_Losers,"France")</f>
        <v>0</v>
      </c>
      <c r="AD53" s="1">
        <f>AA53-(AB53+AC53)</f>
        <v>0</v>
      </c>
      <c r="AE53" s="1">
        <f>SUM(France_Played)</f>
        <v>0</v>
      </c>
      <c r="AF53" s="1">
        <f>SUM(France_Against)</f>
        <v>0</v>
      </c>
      <c r="AG53" s="1">
        <f>AE53-AF53</f>
        <v>0</v>
      </c>
      <c r="AH53" s="1">
        <f>AB53*Winpoints+AD53*Drawpoints</f>
        <v>0</v>
      </c>
      <c r="AI53" s="1" t="str">
        <f>IF($AH53&gt;=$AH54,$Z53,$Z54)</f>
        <v>France</v>
      </c>
      <c r="AJ53" s="1">
        <f>VLOOKUP($AI53,$Z53:$AH56,9,FALSE)</f>
        <v>0</v>
      </c>
      <c r="AK53" s="1" t="str">
        <f>IF($AJ53&gt;=$AJ55,$AI53,$AI55)</f>
        <v>France</v>
      </c>
      <c r="AL53" s="1">
        <f>VLOOKUP($AK53,$Z53:$AH56,9,FALSE)</f>
        <v>0</v>
      </c>
      <c r="AM53" s="1" t="str">
        <f>IF($AL53&gt;=$AL56,$AK53,$AK56)</f>
        <v>France</v>
      </c>
      <c r="AN53" s="1">
        <f>VLOOKUP($AM53,$Z53:$AH56,9,FALSE)</f>
        <v>0</v>
      </c>
      <c r="AO53" s="1">
        <f>VLOOKUP($AM53,$Z53:$AH56,8,FALSE)</f>
        <v>0</v>
      </c>
      <c r="AP53" s="1" t="str">
        <f>IF(AND($AN53=$AN54,$AO54&gt;$AO53),$AM54,$AM53)</f>
        <v>France</v>
      </c>
      <c r="AQ53" s="1">
        <f>VLOOKUP($AP53,$Z53:$AH56,9,FALSE)</f>
        <v>0</v>
      </c>
      <c r="AR53" s="1">
        <f>VLOOKUP($AP53,$Z53:$AH56,8,FALSE)</f>
        <v>0</v>
      </c>
      <c r="AS53" s="1" t="str">
        <f>IF(AND($AQ53=$AQ55,$AR55&gt;$AR53),$AP55,$AP53)</f>
        <v>France</v>
      </c>
      <c r="AT53" s="1">
        <f>VLOOKUP($AS53,$Z53:$AH56,9,FALSE)</f>
        <v>0</v>
      </c>
      <c r="AU53" s="1">
        <f>VLOOKUP($AS53,$Z53:$AH56,8,FALSE)</f>
        <v>0</v>
      </c>
      <c r="AV53" s="1" t="str">
        <f>IF(AND($AT53=$AT56,$AU56&gt;$AU53),$AS56,$AS53)</f>
        <v>France</v>
      </c>
      <c r="AW53" s="1">
        <f>VLOOKUP($AV53,$Z53:$AH56,9,FALSE)</f>
        <v>0</v>
      </c>
      <c r="AX53" s="1">
        <f>VLOOKUP($AV53,$Z53:$AH56,8,FALSE)</f>
        <v>0</v>
      </c>
      <c r="AY53" s="1">
        <f>VLOOKUP($AV53,$Z53:$AH56,6,FALSE)</f>
        <v>0</v>
      </c>
      <c r="AZ53" s="1" t="str">
        <f>IF(AND($AW53=$AW54,$AX53=$AX54,$AY54&gt;$AY53),$AV54,$AV53)</f>
        <v>France</v>
      </c>
      <c r="BA53" s="1">
        <f>VLOOKUP($AZ53,$Z53:$AH56,9,FALSE)</f>
        <v>0</v>
      </c>
      <c r="BB53" s="1">
        <f>VLOOKUP($AZ53,$Z53:$AH56,8,FALSE)</f>
        <v>0</v>
      </c>
      <c r="BC53" s="1">
        <f>VLOOKUP($AZ53,$Z53:$AH56,6,FALSE)</f>
        <v>0</v>
      </c>
      <c r="BD53" s="1" t="str">
        <f>IF(AND($BA53=$BA55,$BB53=$BB55,$BC55&gt;$BC53),$AZ55,$AZ53)</f>
        <v>France</v>
      </c>
      <c r="BE53" s="1">
        <f>VLOOKUP($BD53,$Z53:$AH56,9,FALSE)</f>
        <v>0</v>
      </c>
      <c r="BF53" s="1">
        <f>VLOOKUP($BD53,$Z53:$AH56,8,FALSE)</f>
        <v>0</v>
      </c>
      <c r="BG53" s="1">
        <f>VLOOKUP($BD53,$Z53:$AH56,6,FALSE)</f>
        <v>0</v>
      </c>
      <c r="BH53" s="1" t="str">
        <f>IF(AND($BE53=$BE56,$BF53=$BF56,$BG56&gt;$BG53),$BD56,$BD53)</f>
        <v>France</v>
      </c>
      <c r="BI53" s="1">
        <f>VLOOKUP($BH53,$Z53:$AH56,9,FALSE)</f>
        <v>0</v>
      </c>
      <c r="BJ53" s="1">
        <f>VLOOKUP($BH53,$Z53:$AH56,8,FALSE)</f>
        <v>0</v>
      </c>
      <c r="BK53" s="1">
        <f>VLOOKUP($BH53,$Z53:$AH56,6,FALSE)</f>
        <v>0</v>
      </c>
      <c r="BO53" s="1" t="str">
        <f>BH53</f>
        <v>France</v>
      </c>
      <c r="BP53" s="1">
        <f>VLOOKUP($BO53,$Z53:$AH56,2,FALSE)</f>
        <v>0</v>
      </c>
      <c r="BQ53" s="1">
        <f>VLOOKUP($BO53,$Z53:$AH56,3,FALSE)</f>
        <v>0</v>
      </c>
      <c r="BR53" s="1">
        <f>VLOOKUP($BO53,$Z53:$AH56,4,FALSE)</f>
        <v>0</v>
      </c>
      <c r="BS53" s="1">
        <f>VLOOKUP($BO53,$Z53:$AH56,5,FALSE)</f>
        <v>0</v>
      </c>
      <c r="BT53" s="1">
        <f>VLOOKUP($BO53,$Z53:$AH56,6,FALSE)</f>
        <v>0</v>
      </c>
      <c r="BU53" s="1">
        <f>VLOOKUP($BO53,$Z53:$AH56,7,FALSE)</f>
        <v>0</v>
      </c>
      <c r="BV53" s="1">
        <f>VLOOKUP($BO53,$Z53:$AH56,8,FALSE)</f>
        <v>0</v>
      </c>
      <c r="BW53" s="1">
        <f>VLOOKUP($BO53,$Z53:$AH56,9,FALSE)</f>
        <v>0</v>
      </c>
    </row>
    <row r="54" spans="2:75" ht="13.5" thickBot="1">
      <c r="B54" s="20">
        <v>38526</v>
      </c>
      <c r="C54" s="21">
        <v>0.6666666666666666</v>
      </c>
      <c r="D54" s="39">
        <f t="shared" si="4"/>
        <v>47</v>
      </c>
      <c r="E54" s="24" t="s">
        <v>31</v>
      </c>
      <c r="F54" s="42"/>
      <c r="G54" s="42"/>
      <c r="H54" s="1" t="s">
        <v>38</v>
      </c>
      <c r="I54" s="1" t="s">
        <v>96</v>
      </c>
      <c r="J54" s="22" t="s">
        <v>90</v>
      </c>
      <c r="K54" s="23" t="s">
        <v>49</v>
      </c>
      <c r="L54" s="1">
        <f>IF(F54&lt;&gt;"",IF(F54&gt;G54,E54,IF(G54&gt;F54,H54,"Draw")),"")</f>
      </c>
      <c r="M54" s="1">
        <f>IF(F54&lt;&gt;"",IF(F54&lt;G54,E54,IF(G54&lt;F54,H54,"Draw")),"")</f>
      </c>
      <c r="O54" s="43"/>
      <c r="P54" s="25" t="str">
        <f t="shared" si="19"/>
        <v>Togo</v>
      </c>
      <c r="Q54" s="26">
        <f t="shared" si="19"/>
        <v>0</v>
      </c>
      <c r="R54" s="26">
        <f t="shared" si="19"/>
        <v>0</v>
      </c>
      <c r="S54" s="26">
        <f>BS56</f>
        <v>0</v>
      </c>
      <c r="T54" s="26">
        <f>BR56</f>
        <v>0</v>
      </c>
      <c r="U54" s="26">
        <f t="shared" si="20"/>
        <v>0</v>
      </c>
      <c r="V54" s="26">
        <f t="shared" si="20"/>
        <v>0</v>
      </c>
      <c r="W54" s="26">
        <f t="shared" si="20"/>
        <v>0</v>
      </c>
      <c r="X54" s="27">
        <f t="shared" si="20"/>
        <v>0</v>
      </c>
      <c r="Z54" s="1" t="s">
        <v>73</v>
      </c>
      <c r="AA54" s="1">
        <f>COUNT(Switzerland_Played)</f>
        <v>0</v>
      </c>
      <c r="AB54" s="1">
        <f>COUNTIF(Groupstage_Winners,"Switzerland")</f>
        <v>0</v>
      </c>
      <c r="AC54" s="1">
        <f>COUNTIF(Groupstage_Losers,"Switzerland")</f>
        <v>0</v>
      </c>
      <c r="AD54" s="1">
        <f>AA54-(AB54+AC54)</f>
        <v>0</v>
      </c>
      <c r="AE54" s="1">
        <f>SUM(Switzerland_Played)</f>
        <v>0</v>
      </c>
      <c r="AF54" s="1">
        <f>SUM(Switzerland_Against)</f>
        <v>0</v>
      </c>
      <c r="AG54" s="1">
        <f>AE54-AF54</f>
        <v>0</v>
      </c>
      <c r="AH54" s="1">
        <f>AB54*Winpoints+AD54*Drawpoints</f>
        <v>0</v>
      </c>
      <c r="AI54" s="1" t="str">
        <f>IF($AH54&lt;=$AH53,$Z54,$Z53)</f>
        <v>Switzerland</v>
      </c>
      <c r="AJ54" s="1">
        <f>VLOOKUP($AI54,$Z53:$AH56,9,FALSE)</f>
        <v>0</v>
      </c>
      <c r="AK54" s="1" t="str">
        <f>IF(AJ54&gt;=AJ56,AI54,AI56)</f>
        <v>Switzerland</v>
      </c>
      <c r="AL54" s="1">
        <f>VLOOKUP($AK54,$Z53:$AH56,9,FALSE)</f>
        <v>0</v>
      </c>
      <c r="AM54" s="1" t="str">
        <f>IF($AL54&gt;=$AL55,$AK54,$AK55)</f>
        <v>Switzerland</v>
      </c>
      <c r="AN54" s="1">
        <f>VLOOKUP($AM54,$Z53:$AH56,9,FALSE)</f>
        <v>0</v>
      </c>
      <c r="AO54" s="1">
        <f>VLOOKUP($AM54,$Z53:$AH56,8,FALSE)</f>
        <v>0</v>
      </c>
      <c r="AP54" s="1" t="str">
        <f>IF(AND($AN53=$AN54,$AO54&gt;$AO53),$AM53,$AM54)</f>
        <v>Switzerland</v>
      </c>
      <c r="AQ54" s="1">
        <f>VLOOKUP($AP54,$Z53:$AH56,9,FALSE)</f>
        <v>0</v>
      </c>
      <c r="AR54" s="1">
        <f>VLOOKUP($AP54,$Z53:$AH56,8,FALSE)</f>
        <v>0</v>
      </c>
      <c r="AS54" s="1" t="str">
        <f>IF(AND($AQ54=$AQ56,$AR56&gt;$AR54),$AP56,$AP54)</f>
        <v>Switzerland</v>
      </c>
      <c r="AT54" s="1">
        <f>VLOOKUP($AS54,$Z53:$AH56,9,FALSE)</f>
        <v>0</v>
      </c>
      <c r="AU54" s="1">
        <f>VLOOKUP($AS54,$Z53:$AH56,8,FALSE)</f>
        <v>0</v>
      </c>
      <c r="AV54" s="1" t="str">
        <f>IF(AND($AT54=$AT55,$AU55&gt;$AU54),$AS55,$AS54)</f>
        <v>Switzerland</v>
      </c>
      <c r="AW54" s="1">
        <f>VLOOKUP($AV54,$Z53:$AH56,9,FALSE)</f>
        <v>0</v>
      </c>
      <c r="AX54" s="1">
        <f>VLOOKUP($AV54,$Z53:$AH56,8,FALSE)</f>
        <v>0</v>
      </c>
      <c r="AY54" s="1">
        <f>VLOOKUP($AV54,$Z53:$AH56,6,FALSE)</f>
        <v>0</v>
      </c>
      <c r="AZ54" s="1" t="str">
        <f>IF(AND($AW53=$AW54,$AX53=$AX54,$AY54&gt;$AY53),$AV53,$AV54)</f>
        <v>Switzerland</v>
      </c>
      <c r="BA54" s="1">
        <f>VLOOKUP($AZ54,$Z53:$AH56,9,FALSE)</f>
        <v>0</v>
      </c>
      <c r="BB54" s="1">
        <f>VLOOKUP($AZ54,$Z53:$AH56,8,FALSE)</f>
        <v>0</v>
      </c>
      <c r="BC54" s="1">
        <f>VLOOKUP($AZ54,$Z53:$AH56,6,FALSE)</f>
        <v>0</v>
      </c>
      <c r="BD54" s="1" t="str">
        <f>IF(AND($BA54=$BA56,$BB54=$BB56,$BC56&gt;$BC54),$AZ56,$AZ54)</f>
        <v>Switzerland</v>
      </c>
      <c r="BE54" s="1">
        <f>VLOOKUP($BD54,$Z53:$AH56,9,FALSE)</f>
        <v>0</v>
      </c>
      <c r="BF54" s="1">
        <f>VLOOKUP($BD54,$Z53:$AH56,8,FALSE)</f>
        <v>0</v>
      </c>
      <c r="BG54" s="1">
        <f>VLOOKUP($BD54,$Z53:$AH56,6,FALSE)</f>
        <v>0</v>
      </c>
      <c r="BH54" s="1" t="str">
        <f>IF(AND($BE54=$BE55,$BF54=$BF55,$BG55&gt;$BG54),$BD55,$BD54)</f>
        <v>Switzerland</v>
      </c>
      <c r="BI54" s="1">
        <f>VLOOKUP($BH54,$Z53:$AH56,9,FALSE)</f>
        <v>0</v>
      </c>
      <c r="BJ54" s="1">
        <f>VLOOKUP($BH54,$Z53:$AH56,8,FALSE)</f>
        <v>0</v>
      </c>
      <c r="BK54" s="1">
        <f>VLOOKUP($BH54,$Z53:$AH56,6,FALSE)</f>
        <v>0</v>
      </c>
      <c r="BO54" s="1" t="str">
        <f>BH54</f>
        <v>Switzerland</v>
      </c>
      <c r="BP54" s="1">
        <f>VLOOKUP($BO54,$Z53:$AH56,2,FALSE)</f>
        <v>0</v>
      </c>
      <c r="BQ54" s="1">
        <f>VLOOKUP($BO54,$Z53:$AH56,3,FALSE)</f>
        <v>0</v>
      </c>
      <c r="BR54" s="1">
        <f>VLOOKUP($BO54,$Z53:$AH56,4,FALSE)</f>
        <v>0</v>
      </c>
      <c r="BS54" s="1">
        <f>VLOOKUP($BO54,$Z53:$AH56,5,FALSE)</f>
        <v>0</v>
      </c>
      <c r="BT54" s="1">
        <f>VLOOKUP($BO54,$Z53:$AH56,6,FALSE)</f>
        <v>0</v>
      </c>
      <c r="BU54" s="1">
        <f>VLOOKUP($BO54,$Z53:$AH56,7,FALSE)</f>
        <v>0</v>
      </c>
      <c r="BV54" s="1">
        <f>VLOOKUP($BO54,$Z53:$AH56,8,FALSE)</f>
        <v>0</v>
      </c>
      <c r="BW54" s="1">
        <f>VLOOKUP($BO54,$Z53:$AH56,9,FALSE)</f>
        <v>0</v>
      </c>
    </row>
    <row r="55" spans="2:75" ht="13.5" thickBot="1">
      <c r="B55" s="20">
        <v>38526</v>
      </c>
      <c r="C55" s="21">
        <v>0.6666666666666666</v>
      </c>
      <c r="D55" s="39">
        <f t="shared" si="4"/>
        <v>48</v>
      </c>
      <c r="E55" s="24" t="s">
        <v>75</v>
      </c>
      <c r="F55" s="42"/>
      <c r="G55" s="42"/>
      <c r="H55" s="1" t="s">
        <v>52</v>
      </c>
      <c r="I55" s="1" t="s">
        <v>93</v>
      </c>
      <c r="J55" s="22" t="s">
        <v>85</v>
      </c>
      <c r="K55" s="23" t="s">
        <v>49</v>
      </c>
      <c r="L55" s="1">
        <f>IF(F55&lt;&gt;"",IF(F55&gt;G55,E55,IF(G55&gt;F55,H55,"Draw")),"")</f>
      </c>
      <c r="M55" s="1">
        <f>IF(F55&lt;&gt;"",IF(F55&lt;G55,E55,IF(G55&lt;F55,H55,"Draw")),"")</f>
      </c>
      <c r="Z55" s="1" t="s">
        <v>50</v>
      </c>
      <c r="AA55" s="1">
        <f>COUNT(Korea_Played)</f>
        <v>0</v>
      </c>
      <c r="AB55" s="1">
        <f>COUNTIF(Groupstage_Winners,"South Korea")</f>
        <v>0</v>
      </c>
      <c r="AC55" s="1">
        <f>COUNTIF(Groupstage_Losers,"South Korea")</f>
        <v>0</v>
      </c>
      <c r="AD55" s="1">
        <f>AA55-(AB55+AC55)</f>
        <v>0</v>
      </c>
      <c r="AE55" s="1">
        <f>SUM(Korea_Played)</f>
        <v>0</v>
      </c>
      <c r="AF55" s="1">
        <f>SUM(Korea_Against)</f>
        <v>0</v>
      </c>
      <c r="AG55" s="1">
        <f>AE55-AF55</f>
        <v>0</v>
      </c>
      <c r="AH55" s="1">
        <f>AB55*Winpoints+AD55*Drawpoints</f>
        <v>0</v>
      </c>
      <c r="AI55" s="1" t="str">
        <f>IF($AH55&gt;=$AH56,$Z55,$Z56)</f>
        <v>South Korea</v>
      </c>
      <c r="AJ55" s="1">
        <f>VLOOKUP($AI55,$Z53:$AH56,9,FALSE)</f>
        <v>0</v>
      </c>
      <c r="AK55" s="1" t="str">
        <f>IF($AJ55&lt;=$AJ53,$AI55,$AI53)</f>
        <v>South Korea</v>
      </c>
      <c r="AL55" s="1">
        <f>VLOOKUP($AK55,$Z53:$AH56,9,FALSE)</f>
        <v>0</v>
      </c>
      <c r="AM55" s="1" t="str">
        <f>IF($AL55&lt;=$AL54,$AK55,$AK54)</f>
        <v>South Korea</v>
      </c>
      <c r="AN55" s="1">
        <f>VLOOKUP($AM55,$Z53:$AH56,9,FALSE)</f>
        <v>0</v>
      </c>
      <c r="AO55" s="1">
        <f>VLOOKUP($AM55,$Z53:$AH56,8,FALSE)</f>
        <v>0</v>
      </c>
      <c r="AP55" s="1" t="str">
        <f>IF(AND($AN55=$AN56,$AO56&gt;$AO55),$AM56,$AM55)</f>
        <v>South Korea</v>
      </c>
      <c r="AQ55" s="1">
        <f>VLOOKUP($AP55,$Z53:$AH56,9,FALSE)</f>
        <v>0</v>
      </c>
      <c r="AR55" s="1">
        <f>VLOOKUP($AP55,$Z53:$AH56,8,FALSE)</f>
        <v>0</v>
      </c>
      <c r="AS55" s="1" t="str">
        <f>IF(AND($AQ53=$AQ55,$AR55&gt;$AR53),$AP53,$AP55)</f>
        <v>South Korea</v>
      </c>
      <c r="AT55" s="1">
        <f>VLOOKUP($AS55,$Z53:$AH56,9,FALSE)</f>
        <v>0</v>
      </c>
      <c r="AU55" s="1">
        <f>VLOOKUP($AS55,$Z53:$AH56,8,FALSE)</f>
        <v>0</v>
      </c>
      <c r="AV55" s="1" t="str">
        <f>IF(AND($AT54=$AT55,$AU55&gt;$AU54),$AS54,$AS55)</f>
        <v>South Korea</v>
      </c>
      <c r="AW55" s="1">
        <f>VLOOKUP($AV55,$Z53:$AH56,9,FALSE)</f>
        <v>0</v>
      </c>
      <c r="AX55" s="1">
        <f>VLOOKUP($AV55,$Z53:$AH56,8,FALSE)</f>
        <v>0</v>
      </c>
      <c r="AY55" s="1">
        <f>VLOOKUP($AV55,$Z53:$AH56,6,FALSE)</f>
        <v>0</v>
      </c>
      <c r="AZ55" s="1" t="str">
        <f>IF(AND($AW55=$AW56,$AX55=$AX56,$AY56&gt;$AY55),$AV56,$AV55)</f>
        <v>South Korea</v>
      </c>
      <c r="BA55" s="1">
        <f>VLOOKUP($AZ55,$Z53:$AH56,9,FALSE)</f>
        <v>0</v>
      </c>
      <c r="BB55" s="1">
        <f>VLOOKUP($AZ55,$Z53:$AH56,8,FALSE)</f>
        <v>0</v>
      </c>
      <c r="BC55" s="1">
        <f>VLOOKUP($AZ55,$Z53:$AH56,6,FALSE)</f>
        <v>0</v>
      </c>
      <c r="BD55" s="1" t="str">
        <f>IF(AND($BA53=$BA55,$BB53=$BB55,$BC55&gt;$BC53),$AZ53,$AZ55)</f>
        <v>South Korea</v>
      </c>
      <c r="BE55" s="1">
        <f>VLOOKUP($BD55,$Z53:$AH56,9,FALSE)</f>
        <v>0</v>
      </c>
      <c r="BF55" s="1">
        <f>VLOOKUP($BD55,$Z53:$AH56,8,FALSE)</f>
        <v>0</v>
      </c>
      <c r="BG55" s="1">
        <f>VLOOKUP($BD55,$Z53:$AH56,6,FALSE)</f>
        <v>0</v>
      </c>
      <c r="BH55" s="1" t="str">
        <f>IF(AND($BE54=$BE55,$BF54=$BF55,$BG55&gt;$BG54),$BD54,$BD55)</f>
        <v>South Korea</v>
      </c>
      <c r="BI55" s="1">
        <f>VLOOKUP($BH55,$Z53:$AH56,9,FALSE)</f>
        <v>0</v>
      </c>
      <c r="BJ55" s="1">
        <f>VLOOKUP($BH55,$Z53:$AH56,8,FALSE)</f>
        <v>0</v>
      </c>
      <c r="BK55" s="1">
        <f>VLOOKUP($BH55,$Z53:$AH56,6,FALSE)</f>
        <v>0</v>
      </c>
      <c r="BO55" s="1" t="str">
        <f>BH55</f>
        <v>South Korea</v>
      </c>
      <c r="BP55" s="1">
        <f>VLOOKUP($BO55,$Z53:$AH56,2,FALSE)</f>
        <v>0</v>
      </c>
      <c r="BQ55" s="1">
        <f>VLOOKUP($BO55,$Z53:$AH56,3,FALSE)</f>
        <v>0</v>
      </c>
      <c r="BR55" s="1">
        <f>VLOOKUP($BO55,$Z53:$AH56,4,FALSE)</f>
        <v>0</v>
      </c>
      <c r="BS55" s="1">
        <f>VLOOKUP($BO55,$Z53:$AH56,5,FALSE)</f>
        <v>0</v>
      </c>
      <c r="BT55" s="1">
        <f>VLOOKUP($BO55,$Z53:$AH56,6,FALSE)</f>
        <v>0</v>
      </c>
      <c r="BU55" s="1">
        <f>VLOOKUP($BO55,$Z53:$AH56,7,FALSE)</f>
        <v>0</v>
      </c>
      <c r="BV55" s="1">
        <f>VLOOKUP($BO55,$Z53:$AH56,8,FALSE)</f>
        <v>0</v>
      </c>
      <c r="BW55" s="1">
        <f>VLOOKUP($BO55,$Z53:$AH56,9,FALSE)</f>
        <v>0</v>
      </c>
    </row>
    <row r="56" spans="5:75" ht="15">
      <c r="E56" s="28"/>
      <c r="F56" s="29"/>
      <c r="G56" s="30"/>
      <c r="O56" s="44"/>
      <c r="P56" s="4" t="s">
        <v>60</v>
      </c>
      <c r="Q56" s="5"/>
      <c r="R56" s="5"/>
      <c r="S56" s="5"/>
      <c r="T56" s="5"/>
      <c r="U56" s="5"/>
      <c r="V56" s="5"/>
      <c r="W56" s="5"/>
      <c r="X56" s="6"/>
      <c r="Z56" s="1" t="s">
        <v>74</v>
      </c>
      <c r="AA56" s="1">
        <f>COUNT(Togo_Played)</f>
        <v>0</v>
      </c>
      <c r="AB56" s="1">
        <f>COUNTIF(Groupstage_Winners,"Togo")</f>
        <v>0</v>
      </c>
      <c r="AC56" s="1">
        <f>COUNTIF(Groupstage_Losers,"Togo")</f>
        <v>0</v>
      </c>
      <c r="AD56" s="1">
        <f>AA56-(AB56+AC56)</f>
        <v>0</v>
      </c>
      <c r="AE56" s="1">
        <f>SUM(Togo_Played)</f>
        <v>0</v>
      </c>
      <c r="AF56" s="1">
        <f>SUM(Togo_Against)</f>
        <v>0</v>
      </c>
      <c r="AG56" s="1">
        <f>AE56-AF56</f>
        <v>0</v>
      </c>
      <c r="AH56" s="1">
        <f>AB56*Winpoints+AD56*Drawpoints</f>
        <v>0</v>
      </c>
      <c r="AI56" s="1" t="str">
        <f>IF($AH56&lt;=$AH55,$Z56,$Z55)</f>
        <v>Togo</v>
      </c>
      <c r="AJ56" s="1">
        <f>VLOOKUP($AI56,$Z53:$AH56,9,FALSE)</f>
        <v>0</v>
      </c>
      <c r="AK56" s="1" t="str">
        <f>IF(AJ56&lt;=AJ54,AI56,AI54)</f>
        <v>Togo</v>
      </c>
      <c r="AL56" s="1">
        <f>VLOOKUP($AK56,$Z53:$AH56,9,FALSE)</f>
        <v>0</v>
      </c>
      <c r="AM56" s="1" t="str">
        <f>IF($AL56&lt;=$AL53,$AK56,$AK53)</f>
        <v>Togo</v>
      </c>
      <c r="AN56" s="1">
        <f>VLOOKUP($AM56,$Z53:$AH56,9,FALSE)</f>
        <v>0</v>
      </c>
      <c r="AO56" s="1">
        <f>VLOOKUP($AM56,$Z53:$AH56,8,FALSE)</f>
        <v>0</v>
      </c>
      <c r="AP56" s="1" t="str">
        <f>IF(AND($AN55=$AN56,$AO56&gt;$AO55),$AM55,$AM56)</f>
        <v>Togo</v>
      </c>
      <c r="AQ56" s="1">
        <f>VLOOKUP($AP56,$Z53:$AH56,9,FALSE)</f>
        <v>0</v>
      </c>
      <c r="AR56" s="1">
        <f>VLOOKUP($AP56,$Z53:$AH56,8,FALSE)</f>
        <v>0</v>
      </c>
      <c r="AS56" s="1" t="str">
        <f>IF(AND($AQ54=$AQ56,$AR56&gt;$AR54),$AP54,$AP56)</f>
        <v>Togo</v>
      </c>
      <c r="AT56" s="1">
        <f>VLOOKUP($AS56,$Z53:$AH56,9,FALSE)</f>
        <v>0</v>
      </c>
      <c r="AU56" s="1">
        <f>VLOOKUP($AS56,$Z53:$AH56,8,FALSE)</f>
        <v>0</v>
      </c>
      <c r="AV56" s="1" t="str">
        <f>IF(AND($AT53=$AT56,$AU56&gt;$AU53),$AS53,$AS56)</f>
        <v>Togo</v>
      </c>
      <c r="AW56" s="1">
        <f>VLOOKUP($AV56,$Z53:$AH56,9,FALSE)</f>
        <v>0</v>
      </c>
      <c r="AX56" s="1">
        <f>VLOOKUP($AV56,$Z53:$AH56,8,FALSE)</f>
        <v>0</v>
      </c>
      <c r="AY56" s="1">
        <f>VLOOKUP($AV56,$Z53:$AH56,6,FALSE)</f>
        <v>0</v>
      </c>
      <c r="AZ56" s="1" t="str">
        <f>IF(AND($AW55=$AW56,$AX55=$AX56,$AY56&gt;$AY55),$AV55,$AV56)</f>
        <v>Togo</v>
      </c>
      <c r="BA56" s="1">
        <f>VLOOKUP($AZ56,$Z53:$AH56,9,FALSE)</f>
        <v>0</v>
      </c>
      <c r="BB56" s="1">
        <f>VLOOKUP($AZ56,$Z53:$AH56,8,FALSE)</f>
        <v>0</v>
      </c>
      <c r="BC56" s="1">
        <f>VLOOKUP($AZ56,$Z53:$AH56,6,FALSE)</f>
        <v>0</v>
      </c>
      <c r="BD56" s="1" t="str">
        <f>IF(AND($BA54=$BA56,$BB54=$BB56,$BC56&gt;$BC54),$AZ54,$AZ56)</f>
        <v>Togo</v>
      </c>
      <c r="BE56" s="1">
        <f>VLOOKUP($BD56,$Z53:$AH56,9,FALSE)</f>
        <v>0</v>
      </c>
      <c r="BF56" s="1">
        <f>VLOOKUP($BD56,$Z53:$AH56,8,FALSE)</f>
        <v>0</v>
      </c>
      <c r="BG56" s="1">
        <f>VLOOKUP($BD56,$Z53:$AH56,6,FALSE)</f>
        <v>0</v>
      </c>
      <c r="BH56" s="1" t="str">
        <f>IF(AND($BE53=$BE56,$BF53=$BF56,$BG56&gt;$BG53),$BD53,$BD56)</f>
        <v>Togo</v>
      </c>
      <c r="BI56" s="1">
        <f>VLOOKUP($BH56,$Z53:$AH56,9,FALSE)</f>
        <v>0</v>
      </c>
      <c r="BJ56" s="1">
        <f>VLOOKUP($BH56,$Z53:$AH56,8,FALSE)</f>
        <v>0</v>
      </c>
      <c r="BK56" s="1">
        <f>VLOOKUP($BH56,$Z53:$AH56,6,FALSE)</f>
        <v>0</v>
      </c>
      <c r="BO56" s="1" t="str">
        <f>BH56</f>
        <v>Togo</v>
      </c>
      <c r="BP56" s="1">
        <f>VLOOKUP($BO56,$Z53:$AH56,2,FALSE)</f>
        <v>0</v>
      </c>
      <c r="BQ56" s="1">
        <f>VLOOKUP($BO56,$Z53:$AH56,3,FALSE)</f>
        <v>0</v>
      </c>
      <c r="BR56" s="1">
        <f>VLOOKUP($BO56,$Z53:$AH56,4,FALSE)</f>
        <v>0</v>
      </c>
      <c r="BS56" s="1">
        <f>VLOOKUP($BO56,$Z53:$AH56,5,FALSE)</f>
        <v>0</v>
      </c>
      <c r="BT56" s="1">
        <f>VLOOKUP($BO56,$Z53:$AH56,6,FALSE)</f>
        <v>0</v>
      </c>
      <c r="BU56" s="1">
        <f>VLOOKUP($BO56,$Z53:$AH56,7,FALSE)</f>
        <v>0</v>
      </c>
      <c r="BV56" s="1">
        <f>VLOOKUP($BO56,$Z53:$AH56,8,FALSE)</f>
        <v>0</v>
      </c>
      <c r="BW56" s="1">
        <f>VLOOKUP($BO56,$Z53:$AH56,9,FALSE)</f>
        <v>0</v>
      </c>
    </row>
    <row r="57" spans="6:24" ht="12.75">
      <c r="F57" s="29"/>
      <c r="G57" s="30"/>
      <c r="O57" s="45" t="s">
        <v>106</v>
      </c>
      <c r="P57" s="41" t="s">
        <v>28</v>
      </c>
      <c r="Q57" s="11" t="s">
        <v>17</v>
      </c>
      <c r="R57" s="11" t="s">
        <v>18</v>
      </c>
      <c r="S57" s="11" t="s">
        <v>20</v>
      </c>
      <c r="T57" s="11" t="s">
        <v>19</v>
      </c>
      <c r="U57" s="11" t="s">
        <v>21</v>
      </c>
      <c r="V57" s="11" t="s">
        <v>22</v>
      </c>
      <c r="W57" s="11" t="s">
        <v>23</v>
      </c>
      <c r="X57" s="12" t="s">
        <v>24</v>
      </c>
    </row>
    <row r="58" spans="2:26" ht="15">
      <c r="B58" s="59" t="s">
        <v>114</v>
      </c>
      <c r="C58" s="60"/>
      <c r="D58" s="60"/>
      <c r="E58" s="60"/>
      <c r="F58" s="60"/>
      <c r="G58" s="60"/>
      <c r="H58" s="60"/>
      <c r="I58" s="60"/>
      <c r="J58" s="60"/>
      <c r="K58" s="61"/>
      <c r="O58" s="43"/>
      <c r="P58" s="17" t="str">
        <f aca="true" t="shared" si="21" ref="P58:R61">BO60</f>
        <v>Spain</v>
      </c>
      <c r="Q58" s="18">
        <f t="shared" si="21"/>
        <v>0</v>
      </c>
      <c r="R58" s="18">
        <f t="shared" si="21"/>
        <v>0</v>
      </c>
      <c r="S58" s="18">
        <f>BS60</f>
        <v>0</v>
      </c>
      <c r="T58" s="18">
        <f>BR60</f>
        <v>0</v>
      </c>
      <c r="U58" s="18">
        <f aca="true" t="shared" si="22" ref="U58:X61">BT60</f>
        <v>0</v>
      </c>
      <c r="V58" s="18">
        <f t="shared" si="22"/>
        <v>0</v>
      </c>
      <c r="W58" s="18">
        <f t="shared" si="22"/>
        <v>0</v>
      </c>
      <c r="X58" s="19">
        <f t="shared" si="22"/>
        <v>0</v>
      </c>
      <c r="Z58" s="1" t="s">
        <v>60</v>
      </c>
    </row>
    <row r="59" spans="2:34" ht="15">
      <c r="B59" s="7" t="s">
        <v>13</v>
      </c>
      <c r="C59" s="8" t="s">
        <v>14</v>
      </c>
      <c r="D59" s="8" t="s">
        <v>91</v>
      </c>
      <c r="E59" s="9"/>
      <c r="F59" s="9"/>
      <c r="G59" s="9"/>
      <c r="H59" s="9"/>
      <c r="I59" s="9" t="s">
        <v>92</v>
      </c>
      <c r="J59" s="9" t="s">
        <v>15</v>
      </c>
      <c r="K59" s="10"/>
      <c r="O59" s="43"/>
      <c r="P59" s="17" t="str">
        <f t="shared" si="21"/>
        <v>Ukraine</v>
      </c>
      <c r="Q59" s="18">
        <f t="shared" si="21"/>
        <v>0</v>
      </c>
      <c r="R59" s="18">
        <f t="shared" si="21"/>
        <v>0</v>
      </c>
      <c r="S59" s="18">
        <f>BS61</f>
        <v>0</v>
      </c>
      <c r="T59" s="18">
        <f>BR61</f>
        <v>0</v>
      </c>
      <c r="U59" s="18">
        <f t="shared" si="22"/>
        <v>0</v>
      </c>
      <c r="V59" s="18">
        <f t="shared" si="22"/>
        <v>0</v>
      </c>
      <c r="W59" s="18">
        <f t="shared" si="22"/>
        <v>0</v>
      </c>
      <c r="X59" s="19">
        <f t="shared" si="22"/>
        <v>0</v>
      </c>
      <c r="AA59" s="1" t="s">
        <v>26</v>
      </c>
      <c r="AB59" s="1" t="s">
        <v>18</v>
      </c>
      <c r="AC59" s="1" t="s">
        <v>19</v>
      </c>
      <c r="AD59" s="1" t="s">
        <v>20</v>
      </c>
      <c r="AE59" s="1" t="s">
        <v>21</v>
      </c>
      <c r="AF59" s="1" t="s">
        <v>22</v>
      </c>
      <c r="AG59" s="1" t="s">
        <v>23</v>
      </c>
      <c r="AH59" s="1" t="s">
        <v>27</v>
      </c>
    </row>
    <row r="60" spans="6:75" ht="13.5" thickBot="1">
      <c r="F60" s="29"/>
      <c r="G60" s="30"/>
      <c r="O60" s="43"/>
      <c r="P60" s="17" t="str">
        <f t="shared" si="21"/>
        <v>Tunisia</v>
      </c>
      <c r="Q60" s="18">
        <f t="shared" si="21"/>
        <v>0</v>
      </c>
      <c r="R60" s="18">
        <f t="shared" si="21"/>
        <v>0</v>
      </c>
      <c r="S60" s="18">
        <f>BS62</f>
        <v>0</v>
      </c>
      <c r="T60" s="18">
        <f>BR62</f>
        <v>0</v>
      </c>
      <c r="U60" s="18">
        <f t="shared" si="22"/>
        <v>0</v>
      </c>
      <c r="V60" s="18">
        <f t="shared" si="22"/>
        <v>0</v>
      </c>
      <c r="W60" s="18">
        <f t="shared" si="22"/>
        <v>0</v>
      </c>
      <c r="X60" s="19">
        <f t="shared" si="22"/>
        <v>0</v>
      </c>
      <c r="Z60" s="1" t="s">
        <v>38</v>
      </c>
      <c r="AA60" s="1">
        <f>COUNT(Spain_Played)</f>
        <v>0</v>
      </c>
      <c r="AB60" s="1">
        <f>COUNTIF(Groupstage_Winners,"Spain")</f>
        <v>0</v>
      </c>
      <c r="AC60" s="1">
        <f>COUNTIF(Groupstage_Losers,"Spain")</f>
        <v>0</v>
      </c>
      <c r="AD60" s="1">
        <f>AA60-(AB60+AC60)</f>
        <v>0</v>
      </c>
      <c r="AE60" s="1">
        <f>SUM(Spain_Played)</f>
        <v>0</v>
      </c>
      <c r="AF60" s="1">
        <f>SUM(Spain_Against)</f>
        <v>0</v>
      </c>
      <c r="AG60" s="1">
        <f>AE60-AF60</f>
        <v>0</v>
      </c>
      <c r="AH60" s="1">
        <f>AB60*Winpoints+AD60*Drawpoints</f>
        <v>0</v>
      </c>
      <c r="AI60" s="1" t="str">
        <f>IF($AH60&gt;=$AH61,$Z60,$Z61)</f>
        <v>Spain</v>
      </c>
      <c r="AJ60" s="1">
        <f>VLOOKUP($AI60,$Z60:$AH63,9,FALSE)</f>
        <v>0</v>
      </c>
      <c r="AK60" s="1" t="str">
        <f>IF($AJ60&gt;=$AJ62,$AI60,$AI62)</f>
        <v>Spain</v>
      </c>
      <c r="AL60" s="1">
        <f>VLOOKUP($AK60,$Z60:$AH63,9,FALSE)</f>
        <v>0</v>
      </c>
      <c r="AM60" s="1" t="str">
        <f>IF($AL60&gt;=$AL63,$AK60,$AK63)</f>
        <v>Spain</v>
      </c>
      <c r="AN60" s="1">
        <f>VLOOKUP($AM60,$Z60:$AH63,9,FALSE)</f>
        <v>0</v>
      </c>
      <c r="AO60" s="1">
        <f>VLOOKUP($AM60,$Z60:$AH63,8,FALSE)</f>
        <v>0</v>
      </c>
      <c r="AP60" s="1" t="str">
        <f>IF(AND($AN60=$AN61,$AO61&gt;$AO60),$AM61,$AM60)</f>
        <v>Spain</v>
      </c>
      <c r="AQ60" s="1">
        <f>VLOOKUP($AP60,$Z60:$AH63,9,FALSE)</f>
        <v>0</v>
      </c>
      <c r="AR60" s="1">
        <f>VLOOKUP($AP60,$Z60:$AH63,8,FALSE)</f>
        <v>0</v>
      </c>
      <c r="AS60" s="1" t="str">
        <f>IF(AND($AQ60=$AQ62,$AR62&gt;$AR60),$AP62,$AP60)</f>
        <v>Spain</v>
      </c>
      <c r="AT60" s="1">
        <f>VLOOKUP($AS60,$Z60:$AH63,9,FALSE)</f>
        <v>0</v>
      </c>
      <c r="AU60" s="1">
        <f>VLOOKUP($AS60,$Z60:$AH63,8,FALSE)</f>
        <v>0</v>
      </c>
      <c r="AV60" s="1" t="str">
        <f>IF(AND($AT60=$AT63,$AU63&gt;$AU60),$AS63,$AS60)</f>
        <v>Spain</v>
      </c>
      <c r="AW60" s="1">
        <f>VLOOKUP($AV60,$Z60:$AH63,9,FALSE)</f>
        <v>0</v>
      </c>
      <c r="AX60" s="1">
        <f>VLOOKUP($AV60,$Z60:$AH63,8,FALSE)</f>
        <v>0</v>
      </c>
      <c r="AY60" s="1">
        <f>VLOOKUP($AV60,$Z60:$AH63,6,FALSE)</f>
        <v>0</v>
      </c>
      <c r="AZ60" s="1" t="str">
        <f>IF(AND($AW60=$AW61,$AX60=$AX61,$AY61&gt;$AY60),$AV61,$AV60)</f>
        <v>Spain</v>
      </c>
      <c r="BA60" s="1">
        <f>VLOOKUP($AZ60,$Z60:$AH63,9,FALSE)</f>
        <v>0</v>
      </c>
      <c r="BB60" s="1">
        <f>VLOOKUP($AZ60,$Z60:$AH63,8,FALSE)</f>
        <v>0</v>
      </c>
      <c r="BC60" s="1">
        <f>VLOOKUP($AZ60,$Z60:$AH63,6,FALSE)</f>
        <v>0</v>
      </c>
      <c r="BD60" s="1" t="str">
        <f>IF(AND($BA60=$BA62,$BB60=$BB62,$BC62&gt;$BC60),$AZ62,$AZ60)</f>
        <v>Spain</v>
      </c>
      <c r="BE60" s="1">
        <f>VLOOKUP($BD60,$Z60:$AH63,9,FALSE)</f>
        <v>0</v>
      </c>
      <c r="BF60" s="1">
        <f>VLOOKUP($BD60,$Z60:$AH63,8,FALSE)</f>
        <v>0</v>
      </c>
      <c r="BG60" s="1">
        <f>VLOOKUP($BD60,$Z60:$AH63,6,FALSE)</f>
        <v>0</v>
      </c>
      <c r="BH60" s="1" t="str">
        <f>IF(AND($BE60=$BE63,$BF60=$BF63,$BG63&gt;$BG60),$BD63,$BD60)</f>
        <v>Spain</v>
      </c>
      <c r="BI60" s="1">
        <f>VLOOKUP($BH60,$Z60:$AH63,9,FALSE)</f>
        <v>0</v>
      </c>
      <c r="BJ60" s="1">
        <f>VLOOKUP($BH60,$Z60:$AH63,8,FALSE)</f>
        <v>0</v>
      </c>
      <c r="BK60" s="1">
        <f>VLOOKUP($BH60,$Z60:$AH63,6,FALSE)</f>
        <v>0</v>
      </c>
      <c r="BO60" s="1" t="str">
        <f>BH60</f>
        <v>Spain</v>
      </c>
      <c r="BP60" s="1">
        <f>VLOOKUP($BO60,$Z60:$AH63,2,FALSE)</f>
        <v>0</v>
      </c>
      <c r="BQ60" s="1">
        <f>VLOOKUP($BO60,$Z60:$AH63,3,FALSE)</f>
        <v>0</v>
      </c>
      <c r="BR60" s="1">
        <f>VLOOKUP($BO60,$Z60:$AH63,4,FALSE)</f>
        <v>0</v>
      </c>
      <c r="BS60" s="1">
        <f>VLOOKUP($BO60,$Z60:$AH63,5,FALSE)</f>
        <v>0</v>
      </c>
      <c r="BT60" s="1">
        <f>VLOOKUP($BO60,$Z60:$AH63,6,FALSE)</f>
        <v>0</v>
      </c>
      <c r="BU60" s="1">
        <f>VLOOKUP($BO60,$Z60:$AH63,7,FALSE)</f>
        <v>0</v>
      </c>
      <c r="BV60" s="1">
        <f>VLOOKUP($BO60,$Z60:$AH63,8,FALSE)</f>
        <v>0</v>
      </c>
      <c r="BW60" s="1">
        <f>VLOOKUP($BO60,$Z60:$AH63,9,FALSE)</f>
        <v>0</v>
      </c>
    </row>
    <row r="61" spans="2:75" ht="13.5" thickBot="1">
      <c r="B61" s="31">
        <v>38527</v>
      </c>
      <c r="C61" s="32">
        <v>0.7083333333333334</v>
      </c>
      <c r="D61" s="40">
        <f>D55+1</f>
        <v>49</v>
      </c>
      <c r="E61" s="33" t="str">
        <f>IF(AND(Q7=3,O7&lt;&gt;""),VLOOKUP(1,O7:P10,2,FALSE),"Winner A")</f>
        <v>Winner A</v>
      </c>
      <c r="F61" s="42"/>
      <c r="G61" s="42"/>
      <c r="H61" s="2" t="str">
        <f>IF(AND(Q15=3,O15&lt;&gt;""),VLOOKUP(2,O14:P17,2,FALSE),"Runner-Up B")</f>
        <v>Runner-Up B</v>
      </c>
      <c r="I61" s="2" t="s">
        <v>100</v>
      </c>
      <c r="J61" s="1" t="s">
        <v>76</v>
      </c>
      <c r="L61" s="1" t="str">
        <f>IF(F61&lt;&gt;"",IF(F61&gt;G61,E61,IF(G61&gt;F61,H61,"Draw")),"Second Rd 1")</f>
        <v>Second Rd 1</v>
      </c>
      <c r="O61" s="43"/>
      <c r="P61" s="25" t="str">
        <f t="shared" si="21"/>
        <v>Saudi Arabia</v>
      </c>
      <c r="Q61" s="26">
        <f t="shared" si="21"/>
        <v>0</v>
      </c>
      <c r="R61" s="26">
        <f t="shared" si="21"/>
        <v>0</v>
      </c>
      <c r="S61" s="26">
        <f>BS63</f>
        <v>0</v>
      </c>
      <c r="T61" s="26">
        <f>BR63</f>
        <v>0</v>
      </c>
      <c r="U61" s="26">
        <f t="shared" si="22"/>
        <v>0</v>
      </c>
      <c r="V61" s="26">
        <f t="shared" si="22"/>
        <v>0</v>
      </c>
      <c r="W61" s="26">
        <f t="shared" si="22"/>
        <v>0</v>
      </c>
      <c r="X61" s="27">
        <f t="shared" si="22"/>
        <v>0</v>
      </c>
      <c r="Z61" s="1" t="s">
        <v>75</v>
      </c>
      <c r="AA61" s="1">
        <f>COUNT(Ukraine_Played)</f>
        <v>0</v>
      </c>
      <c r="AB61" s="1">
        <f>COUNTIF(Groupstage_Winners,"Ukraine")</f>
        <v>0</v>
      </c>
      <c r="AC61" s="1">
        <f>COUNTIF(Groupstage_Losers,"Ukraine")</f>
        <v>0</v>
      </c>
      <c r="AD61" s="1">
        <f>AA61-(AB61+AC61)</f>
        <v>0</v>
      </c>
      <c r="AE61" s="1">
        <f>SUM(Ukraine_Played)</f>
        <v>0</v>
      </c>
      <c r="AF61" s="1">
        <f>SUM(Ukraine_Against)</f>
        <v>0</v>
      </c>
      <c r="AG61" s="1">
        <f>AE61-AF61</f>
        <v>0</v>
      </c>
      <c r="AH61" s="1">
        <f>AB61*Winpoints+AD61*Drawpoints</f>
        <v>0</v>
      </c>
      <c r="AI61" s="1" t="str">
        <f>IF($AH61&lt;=$AH60,$Z61,$Z60)</f>
        <v>Ukraine</v>
      </c>
      <c r="AJ61" s="1">
        <f>VLOOKUP($AI61,$Z60:$AH63,9,FALSE)</f>
        <v>0</v>
      </c>
      <c r="AK61" s="1" t="str">
        <f>IF(AJ61&gt;=AJ63,AI61,AI63)</f>
        <v>Ukraine</v>
      </c>
      <c r="AL61" s="1">
        <f>VLOOKUP($AK61,$Z60:$AH63,9,FALSE)</f>
        <v>0</v>
      </c>
      <c r="AM61" s="1" t="str">
        <f>IF($AL61&gt;=$AL62,$AK61,$AK62)</f>
        <v>Ukraine</v>
      </c>
      <c r="AN61" s="1">
        <f>VLOOKUP($AM61,$Z60:$AH63,9,FALSE)</f>
        <v>0</v>
      </c>
      <c r="AO61" s="1">
        <f>VLOOKUP($AM61,$Z60:$AH63,8,FALSE)</f>
        <v>0</v>
      </c>
      <c r="AP61" s="1" t="str">
        <f>IF(AND($AN60=$AN61,$AO61&gt;$AO60),$AM60,$AM61)</f>
        <v>Ukraine</v>
      </c>
      <c r="AQ61" s="1">
        <f>VLOOKUP($AP61,$Z60:$AH63,9,FALSE)</f>
        <v>0</v>
      </c>
      <c r="AR61" s="1">
        <f>VLOOKUP($AP61,$Z60:$AH63,8,FALSE)</f>
        <v>0</v>
      </c>
      <c r="AS61" s="1" t="str">
        <f>IF(AND($AQ61=$AQ63,$AR63&gt;$AR61),$AP63,$AP61)</f>
        <v>Ukraine</v>
      </c>
      <c r="AT61" s="1">
        <f>VLOOKUP($AS61,$Z60:$AH63,9,FALSE)</f>
        <v>0</v>
      </c>
      <c r="AU61" s="1">
        <f>VLOOKUP($AS61,$Z60:$AH63,8,FALSE)</f>
        <v>0</v>
      </c>
      <c r="AV61" s="1" t="str">
        <f>IF(AND($AT61=$AT62,$AU62&gt;$AU61),$AS62,$AS61)</f>
        <v>Ukraine</v>
      </c>
      <c r="AW61" s="1">
        <f>VLOOKUP($AV61,$Z60:$AH63,9,FALSE)</f>
        <v>0</v>
      </c>
      <c r="AX61" s="1">
        <f>VLOOKUP($AV61,$Z60:$AH63,8,FALSE)</f>
        <v>0</v>
      </c>
      <c r="AY61" s="1">
        <f>VLOOKUP($AV61,$Z60:$AH63,6,FALSE)</f>
        <v>0</v>
      </c>
      <c r="AZ61" s="1" t="str">
        <f>IF(AND($AW60=$AW61,$AX60=$AX61,$AY61&gt;$AY60),$AV60,$AV61)</f>
        <v>Ukraine</v>
      </c>
      <c r="BA61" s="1">
        <f>VLOOKUP($AZ61,$Z60:$AH63,9,FALSE)</f>
        <v>0</v>
      </c>
      <c r="BB61" s="1">
        <f>VLOOKUP($AZ61,$Z60:$AH63,8,FALSE)</f>
        <v>0</v>
      </c>
      <c r="BC61" s="1">
        <f>VLOOKUP($AZ61,$Z60:$AH63,6,FALSE)</f>
        <v>0</v>
      </c>
      <c r="BD61" s="1" t="str">
        <f>IF(AND($BA61=$BA63,$BB61=$BB63,$BC63&gt;$BC61),$AZ63,$AZ61)</f>
        <v>Ukraine</v>
      </c>
      <c r="BE61" s="1">
        <f>VLOOKUP($BD61,$Z60:$AH63,9,FALSE)</f>
        <v>0</v>
      </c>
      <c r="BF61" s="1">
        <f>VLOOKUP($BD61,$Z60:$AH63,8,FALSE)</f>
        <v>0</v>
      </c>
      <c r="BG61" s="1">
        <f>VLOOKUP($BD61,$Z60:$AH63,6,FALSE)</f>
        <v>0</v>
      </c>
      <c r="BH61" s="1" t="str">
        <f>IF(AND($BE61=$BE62,$BF61=$BF62,$BG62&gt;$BG61),$BD62,$BD61)</f>
        <v>Ukraine</v>
      </c>
      <c r="BI61" s="1">
        <f>VLOOKUP($BH61,$Z60:$AH63,9,FALSE)</f>
        <v>0</v>
      </c>
      <c r="BJ61" s="1">
        <f>VLOOKUP($BH61,$Z60:$AH63,8,FALSE)</f>
        <v>0</v>
      </c>
      <c r="BK61" s="1">
        <f>VLOOKUP($BH61,$Z60:$AH63,6,FALSE)</f>
        <v>0</v>
      </c>
      <c r="BO61" s="1" t="str">
        <f>BH61</f>
        <v>Ukraine</v>
      </c>
      <c r="BP61" s="1">
        <f>VLOOKUP($BO61,$Z60:$AH63,2,FALSE)</f>
        <v>0</v>
      </c>
      <c r="BQ61" s="1">
        <f>VLOOKUP($BO61,$Z60:$AH63,3,FALSE)</f>
        <v>0</v>
      </c>
      <c r="BR61" s="1">
        <f>VLOOKUP($BO61,$Z60:$AH63,4,FALSE)</f>
        <v>0</v>
      </c>
      <c r="BS61" s="1">
        <f>VLOOKUP($BO61,$Z60:$AH63,5,FALSE)</f>
        <v>0</v>
      </c>
      <c r="BT61" s="1">
        <f>VLOOKUP($BO61,$Z60:$AH63,6,FALSE)</f>
        <v>0</v>
      </c>
      <c r="BU61" s="1">
        <f>VLOOKUP($BO61,$Z60:$AH63,7,FALSE)</f>
        <v>0</v>
      </c>
      <c r="BV61" s="1">
        <f>VLOOKUP($BO61,$Z60:$AH63,8,FALSE)</f>
        <v>0</v>
      </c>
      <c r="BW61" s="1">
        <f>VLOOKUP($BO61,$Z60:$AH63,9,FALSE)</f>
        <v>0</v>
      </c>
    </row>
    <row r="62" spans="2:75" ht="13.5" thickBot="1">
      <c r="B62" s="31">
        <v>38527</v>
      </c>
      <c r="C62" s="32">
        <v>0.875</v>
      </c>
      <c r="D62" s="40">
        <f>D61+1</f>
        <v>50</v>
      </c>
      <c r="E62" s="33" t="str">
        <f>IF(AND(Q21=3,O21&lt;&gt;""),VLOOKUP(1,O21:P24,2,FALSE),"Winner C")</f>
        <v>Winner C</v>
      </c>
      <c r="F62" s="42"/>
      <c r="G62" s="42"/>
      <c r="H62" s="2" t="str">
        <f>IF(AND(Q29=3,O29&lt;&gt;""),VLOOKUP(2,O28:P31,2,FALSE),"Runner-Up D")</f>
        <v>Runner-Up D</v>
      </c>
      <c r="I62" s="2" t="s">
        <v>99</v>
      </c>
      <c r="J62" s="1" t="s">
        <v>81</v>
      </c>
      <c r="L62" s="1" t="str">
        <f>IF(F62&lt;&gt;"",IF(F62&gt;G62,E62,IF(G62&gt;F62,H62,"Draw")),"Second Rd 2")</f>
        <v>Second Rd 2</v>
      </c>
      <c r="Z62" s="1" t="s">
        <v>52</v>
      </c>
      <c r="AA62" s="1">
        <f>COUNT(Tunisia_Played)</f>
        <v>0</v>
      </c>
      <c r="AB62" s="1">
        <f>COUNTIF(Groupstage_Winners,"Tunisia")</f>
        <v>0</v>
      </c>
      <c r="AC62" s="1">
        <f>COUNTIF(Groupstage_Losers,"Tunisia")</f>
        <v>0</v>
      </c>
      <c r="AD62" s="1">
        <f>AA62-(AB62+AC62)</f>
        <v>0</v>
      </c>
      <c r="AE62" s="1">
        <f>SUM(Tunisia_Played)</f>
        <v>0</v>
      </c>
      <c r="AF62" s="1">
        <f>SUM(Tunisia_Against)</f>
        <v>0</v>
      </c>
      <c r="AG62" s="1">
        <f>AE62-AF62</f>
        <v>0</v>
      </c>
      <c r="AH62" s="1">
        <f>AB62*Winpoints+AD62*Drawpoints</f>
        <v>0</v>
      </c>
      <c r="AI62" s="1" t="str">
        <f>IF($AH62&gt;=$AH63,$Z62,$Z63)</f>
        <v>Tunisia</v>
      </c>
      <c r="AJ62" s="1">
        <f>VLOOKUP($AI62,$Z60:$AH63,9,FALSE)</f>
        <v>0</v>
      </c>
      <c r="AK62" s="1" t="str">
        <f>IF($AJ62&lt;=$AJ60,$AI62,$AI60)</f>
        <v>Tunisia</v>
      </c>
      <c r="AL62" s="1">
        <f>VLOOKUP($AK62,$Z60:$AH63,9,FALSE)</f>
        <v>0</v>
      </c>
      <c r="AM62" s="1" t="str">
        <f>IF($AL62&lt;=$AL61,$AK62,$AK61)</f>
        <v>Tunisia</v>
      </c>
      <c r="AN62" s="1">
        <f>VLOOKUP($AM62,$Z60:$AH63,9,FALSE)</f>
        <v>0</v>
      </c>
      <c r="AO62" s="1">
        <f>VLOOKUP($AM62,$Z60:$AH63,8,FALSE)</f>
        <v>0</v>
      </c>
      <c r="AP62" s="1" t="str">
        <f>IF(AND($AN62=$AN63,$AO63&gt;$AO62),$AM63,$AM62)</f>
        <v>Tunisia</v>
      </c>
      <c r="AQ62" s="1">
        <f>VLOOKUP($AP62,$Z60:$AH63,9,FALSE)</f>
        <v>0</v>
      </c>
      <c r="AR62" s="1">
        <f>VLOOKUP($AP62,$Z60:$AH63,8,FALSE)</f>
        <v>0</v>
      </c>
      <c r="AS62" s="1" t="str">
        <f>IF(AND($AQ60=$AQ62,$AR62&gt;$AR60),$AP60,$AP62)</f>
        <v>Tunisia</v>
      </c>
      <c r="AT62" s="1">
        <f>VLOOKUP($AS62,$Z60:$AH63,9,FALSE)</f>
        <v>0</v>
      </c>
      <c r="AU62" s="1">
        <f>VLOOKUP($AS62,$Z60:$AH63,8,FALSE)</f>
        <v>0</v>
      </c>
      <c r="AV62" s="1" t="str">
        <f>IF(AND($AT61=$AT62,$AU62&gt;$AU61),$AS61,$AS62)</f>
        <v>Tunisia</v>
      </c>
      <c r="AW62" s="1">
        <f>VLOOKUP($AV62,$Z60:$AH63,9,FALSE)</f>
        <v>0</v>
      </c>
      <c r="AX62" s="1">
        <f>VLOOKUP($AV62,$Z60:$AH63,8,FALSE)</f>
        <v>0</v>
      </c>
      <c r="AY62" s="1">
        <f>VLOOKUP($AV62,$Z60:$AH63,6,FALSE)</f>
        <v>0</v>
      </c>
      <c r="AZ62" s="1" t="str">
        <f>IF(AND($AW62=$AW63,$AX62=$AX63,$AY63&gt;$AY62),$AV63,$AV62)</f>
        <v>Tunisia</v>
      </c>
      <c r="BA62" s="1">
        <f>VLOOKUP($AZ62,$Z60:$AH63,9,FALSE)</f>
        <v>0</v>
      </c>
      <c r="BB62" s="1">
        <f>VLOOKUP($AZ62,$Z60:$AH63,8,FALSE)</f>
        <v>0</v>
      </c>
      <c r="BC62" s="1">
        <f>VLOOKUP($AZ62,$Z60:$AH63,6,FALSE)</f>
        <v>0</v>
      </c>
      <c r="BD62" s="1" t="str">
        <f>IF(AND($BA60=$BA62,$BB60=$BB62,$BC62&gt;$BC60),$AZ60,$AZ62)</f>
        <v>Tunisia</v>
      </c>
      <c r="BE62" s="1">
        <f>VLOOKUP($BD62,$Z60:$AH63,9,FALSE)</f>
        <v>0</v>
      </c>
      <c r="BF62" s="1">
        <f>VLOOKUP($BD62,$Z60:$AH63,8,FALSE)</f>
        <v>0</v>
      </c>
      <c r="BG62" s="1">
        <f>VLOOKUP($BD62,$Z60:$AH63,6,FALSE)</f>
        <v>0</v>
      </c>
      <c r="BH62" s="1" t="str">
        <f>IF(AND($BE61=$BE62,$BF61=$BF62,$BG62&gt;$BG61),$BD61,$BD62)</f>
        <v>Tunisia</v>
      </c>
      <c r="BI62" s="1">
        <f>VLOOKUP($BH62,$Z60:$AH63,9,FALSE)</f>
        <v>0</v>
      </c>
      <c r="BJ62" s="1">
        <f>VLOOKUP($BH62,$Z60:$AH63,8,FALSE)</f>
        <v>0</v>
      </c>
      <c r="BK62" s="1">
        <f>VLOOKUP($BH62,$Z60:$AH63,6,FALSE)</f>
        <v>0</v>
      </c>
      <c r="BO62" s="1" t="str">
        <f>BH62</f>
        <v>Tunisia</v>
      </c>
      <c r="BP62" s="1">
        <f>VLOOKUP($BO62,$Z60:$AH63,2,FALSE)</f>
        <v>0</v>
      </c>
      <c r="BQ62" s="1">
        <f>VLOOKUP($BO62,$Z60:$AH63,3,FALSE)</f>
        <v>0</v>
      </c>
      <c r="BR62" s="1">
        <f>VLOOKUP($BO62,$Z60:$AH63,4,FALSE)</f>
        <v>0</v>
      </c>
      <c r="BS62" s="1">
        <f>VLOOKUP($BO62,$Z60:$AH63,5,FALSE)</f>
        <v>0</v>
      </c>
      <c r="BT62" s="1">
        <f>VLOOKUP($BO62,$Z60:$AH63,6,FALSE)</f>
        <v>0</v>
      </c>
      <c r="BU62" s="1">
        <f>VLOOKUP($BO62,$Z60:$AH63,7,FALSE)</f>
        <v>0</v>
      </c>
      <c r="BV62" s="1">
        <f>VLOOKUP($BO62,$Z60:$AH63,8,FALSE)</f>
        <v>0</v>
      </c>
      <c r="BW62" s="1">
        <f>VLOOKUP($BO62,$Z60:$AH63,9,FALSE)</f>
        <v>0</v>
      </c>
    </row>
    <row r="63" spans="2:75" ht="13.5" thickBot="1">
      <c r="B63" s="31">
        <v>38528</v>
      </c>
      <c r="C63" s="32">
        <v>0.7083333333333334</v>
      </c>
      <c r="D63" s="40">
        <f aca="true" t="shared" si="23" ref="D63:D68">D62+1</f>
        <v>51</v>
      </c>
      <c r="E63" s="33" t="str">
        <f>IF(AND(Q14=3,O14&lt;&gt;""),VLOOKUP(1,O14:P17,2,FALSE),"Winner B")</f>
        <v>Winner B</v>
      </c>
      <c r="F63" s="42"/>
      <c r="G63" s="42"/>
      <c r="H63" s="2" t="str">
        <f>IF(AND(Q8=3,O8&lt;&gt;""),VLOOKUP(2,O7:P10,2,FALSE),"Runner-Up A")</f>
        <v>Runner-Up A</v>
      </c>
      <c r="I63" s="2" t="s">
        <v>98</v>
      </c>
      <c r="J63" s="1" t="s">
        <v>86</v>
      </c>
      <c r="L63" s="1" t="str">
        <f>IF(F63&lt;&gt;"",IF(F63&gt;G63,E63,IF(G63&gt;F63,H63,"Draw")),"Second Rd 3")</f>
        <v>Second Rd 3</v>
      </c>
      <c r="Z63" s="1" t="s">
        <v>31</v>
      </c>
      <c r="AA63" s="1">
        <f>COUNT(Saudi_Played)</f>
        <v>0</v>
      </c>
      <c r="AB63" s="1">
        <f>COUNTIF(Groupstage_Winners,"Saudi Arabia")</f>
        <v>0</v>
      </c>
      <c r="AC63" s="1">
        <f>COUNTIF(Groupstage_Losers,"Saudi Arabia")</f>
        <v>0</v>
      </c>
      <c r="AD63" s="1">
        <f>AA63-(AB63+AC63)</f>
        <v>0</v>
      </c>
      <c r="AE63" s="1">
        <f>SUM(Saudi_Played)</f>
        <v>0</v>
      </c>
      <c r="AF63" s="1">
        <f>SUM(Saudi_Against)</f>
        <v>0</v>
      </c>
      <c r="AG63" s="1">
        <f>AE63-AF63</f>
        <v>0</v>
      </c>
      <c r="AH63" s="1">
        <f>AB63*Winpoints+AD63*Drawpoints</f>
        <v>0</v>
      </c>
      <c r="AI63" s="1" t="str">
        <f>IF($AH63&lt;=$AH62,$Z63,$Z62)</f>
        <v>Saudi Arabia</v>
      </c>
      <c r="AJ63" s="1">
        <f>VLOOKUP($AI63,$Z60:$AH63,9,FALSE)</f>
        <v>0</v>
      </c>
      <c r="AK63" s="1" t="str">
        <f>IF(AJ63&lt;=AJ61,AI63,AI61)</f>
        <v>Saudi Arabia</v>
      </c>
      <c r="AL63" s="1">
        <f>VLOOKUP($AK63,$Z60:$AH63,9,FALSE)</f>
        <v>0</v>
      </c>
      <c r="AM63" s="1" t="str">
        <f>IF($AL63&lt;=$AL60,$AK63,$AK60)</f>
        <v>Saudi Arabia</v>
      </c>
      <c r="AN63" s="1">
        <f>VLOOKUP($AM63,$Z60:$AH63,9,FALSE)</f>
        <v>0</v>
      </c>
      <c r="AO63" s="1">
        <f>VLOOKUP($AM63,$Z60:$AH63,8,FALSE)</f>
        <v>0</v>
      </c>
      <c r="AP63" s="1" t="str">
        <f>IF(AND($AN62=$AN63,$AO63&gt;$AO62),$AM62,$AM63)</f>
        <v>Saudi Arabia</v>
      </c>
      <c r="AQ63" s="1">
        <f>VLOOKUP($AP63,$Z60:$AH63,9,FALSE)</f>
        <v>0</v>
      </c>
      <c r="AR63" s="1">
        <f>VLOOKUP($AP63,$Z60:$AH63,8,FALSE)</f>
        <v>0</v>
      </c>
      <c r="AS63" s="1" t="str">
        <f>IF(AND($AQ61=$AQ63,$AR63&gt;$AR61),$AP61,$AP63)</f>
        <v>Saudi Arabia</v>
      </c>
      <c r="AT63" s="1">
        <f>VLOOKUP($AS63,$Z60:$AH63,9,FALSE)</f>
        <v>0</v>
      </c>
      <c r="AU63" s="1">
        <f>VLOOKUP($AS63,$Z60:$AH63,8,FALSE)</f>
        <v>0</v>
      </c>
      <c r="AV63" s="1" t="str">
        <f>IF(AND($AT60=$AT63,$AU63&gt;$AU60),$AS60,$AS63)</f>
        <v>Saudi Arabia</v>
      </c>
      <c r="AW63" s="1">
        <f>VLOOKUP($AV63,$Z60:$AH63,9,FALSE)</f>
        <v>0</v>
      </c>
      <c r="AX63" s="1">
        <f>VLOOKUP($AV63,$Z60:$AH63,8,FALSE)</f>
        <v>0</v>
      </c>
      <c r="AY63" s="1">
        <f>VLOOKUP($AV63,$Z60:$AH63,6,FALSE)</f>
        <v>0</v>
      </c>
      <c r="AZ63" s="1" t="str">
        <f>IF(AND($AW62=$AW63,$AX62=$AX63,$AY63&gt;$AY62),$AV62,$AV63)</f>
        <v>Saudi Arabia</v>
      </c>
      <c r="BA63" s="1">
        <f>VLOOKUP($AZ63,$Z60:$AH63,9,FALSE)</f>
        <v>0</v>
      </c>
      <c r="BB63" s="1">
        <f>VLOOKUP($AZ63,$Z60:$AH63,8,FALSE)</f>
        <v>0</v>
      </c>
      <c r="BC63" s="1">
        <f>VLOOKUP($AZ63,$Z60:$AH63,6,FALSE)</f>
        <v>0</v>
      </c>
      <c r="BD63" s="1" t="str">
        <f>IF(AND($BA61=$BA63,$BB61=$BB63,$BC63&gt;$BC61),$AZ61,$AZ63)</f>
        <v>Saudi Arabia</v>
      </c>
      <c r="BE63" s="1">
        <f>VLOOKUP($BD63,$Z60:$AH63,9,FALSE)</f>
        <v>0</v>
      </c>
      <c r="BF63" s="1">
        <f>VLOOKUP($BD63,$Z60:$AH63,8,FALSE)</f>
        <v>0</v>
      </c>
      <c r="BG63" s="1">
        <f>VLOOKUP($BD63,$Z60:$AH63,6,FALSE)</f>
        <v>0</v>
      </c>
      <c r="BH63" s="1" t="str">
        <f>IF(AND($BE60=$BE63,$BF60=$BF63,$BG63&gt;$BG60),$BD60,$BD63)</f>
        <v>Saudi Arabia</v>
      </c>
      <c r="BI63" s="1">
        <f>VLOOKUP($BH63,$Z60:$AH63,9,FALSE)</f>
        <v>0</v>
      </c>
      <c r="BJ63" s="1">
        <f>VLOOKUP($BH63,$Z60:$AH63,8,FALSE)</f>
        <v>0</v>
      </c>
      <c r="BK63" s="1">
        <f>VLOOKUP($BH63,$Z60:$AH63,6,FALSE)</f>
        <v>0</v>
      </c>
      <c r="BO63" s="1" t="str">
        <f>BH63</f>
        <v>Saudi Arabia</v>
      </c>
      <c r="BP63" s="1">
        <f>VLOOKUP($BO63,$Z60:$AH63,2,FALSE)</f>
        <v>0</v>
      </c>
      <c r="BQ63" s="1">
        <f>VLOOKUP($BO63,$Z60:$AH63,3,FALSE)</f>
        <v>0</v>
      </c>
      <c r="BR63" s="1">
        <f>VLOOKUP($BO63,$Z60:$AH63,4,FALSE)</f>
        <v>0</v>
      </c>
      <c r="BS63" s="1">
        <f>VLOOKUP($BO63,$Z60:$AH63,5,FALSE)</f>
        <v>0</v>
      </c>
      <c r="BT63" s="1">
        <f>VLOOKUP($BO63,$Z60:$AH63,6,FALSE)</f>
        <v>0</v>
      </c>
      <c r="BU63" s="1">
        <f>VLOOKUP($BO63,$Z60:$AH63,7,FALSE)</f>
        <v>0</v>
      </c>
      <c r="BV63" s="1">
        <f>VLOOKUP($BO63,$Z60:$AH63,8,FALSE)</f>
        <v>0</v>
      </c>
      <c r="BW63" s="1">
        <f>VLOOKUP($BO63,$Z60:$AH63,9,FALSE)</f>
        <v>0</v>
      </c>
    </row>
    <row r="64" spans="2:12" ht="13.5" thickBot="1">
      <c r="B64" s="31">
        <v>38528</v>
      </c>
      <c r="C64" s="32">
        <v>0.875</v>
      </c>
      <c r="D64" s="40">
        <f t="shared" si="23"/>
        <v>52</v>
      </c>
      <c r="E64" s="33" t="str">
        <f>IF(AND(Q28=3,O28&lt;&gt;""),VLOOKUP(1,O28:P31,2,FALSE),"Winner D")</f>
        <v>Winner D</v>
      </c>
      <c r="F64" s="42"/>
      <c r="G64" s="42"/>
      <c r="H64" s="2" t="str">
        <f>IF(AND(Q22=3,O22&lt;&gt;""),VLOOKUP(2,O21:P24,2,FALSE),"Runner-Up C")</f>
        <v>Runner-Up C</v>
      </c>
      <c r="I64" s="2" t="s">
        <v>97</v>
      </c>
      <c r="J64" s="1" t="s">
        <v>82</v>
      </c>
      <c r="L64" s="1" t="str">
        <f>IF(F64&lt;&gt;"",IF(F64&gt;G64,E64,IF(G64&gt;F64,H64,"Draw")),"Second Rd 4")</f>
        <v>Second Rd 4</v>
      </c>
    </row>
    <row r="65" spans="2:12" ht="13.5" thickBot="1">
      <c r="B65" s="31">
        <v>38529</v>
      </c>
      <c r="C65" s="32">
        <v>0.7083333333333334</v>
      </c>
      <c r="D65" s="40">
        <f t="shared" si="23"/>
        <v>53</v>
      </c>
      <c r="E65" s="33" t="str">
        <f>IF(AND(Q37=3,O37&lt;&gt;""),VLOOKUP(1,O37:P40,2,FALSE),"Winner E")</f>
        <v>Winner E</v>
      </c>
      <c r="F65" s="42"/>
      <c r="G65" s="42"/>
      <c r="H65" s="2" t="str">
        <f>IF(AND(Q45=3,O45&lt;&gt;""),VLOOKUP(2,O44:P47,2,FALSE),"Runner-Up F")</f>
        <v>Runner-Up F</v>
      </c>
      <c r="I65" s="2" t="s">
        <v>96</v>
      </c>
      <c r="J65" s="22" t="s">
        <v>90</v>
      </c>
      <c r="L65" s="1" t="str">
        <f>IF(F65&lt;&gt;"",IF(F65&gt;G65,E65,IF(G65&gt;F65,H65,"Draw")),"Second Rd 5")</f>
        <v>Second Rd 5</v>
      </c>
    </row>
    <row r="66" spans="2:25" ht="13.5" thickBot="1">
      <c r="B66" s="31">
        <v>38529</v>
      </c>
      <c r="C66" s="32">
        <v>0.875</v>
      </c>
      <c r="D66" s="40">
        <f t="shared" si="23"/>
        <v>54</v>
      </c>
      <c r="E66" s="33" t="str">
        <f>IF(AND(Q51=3,O51&lt;&gt;""),VLOOKUP(1,O51:P54,2,FALSE),"Winner G")</f>
        <v>Winner G</v>
      </c>
      <c r="F66" s="42"/>
      <c r="G66" s="42"/>
      <c r="H66" s="2" t="str">
        <f>IF(AND(Q59=3,O59&lt;&gt;""),VLOOKUP(2,O58:P61,2,FALSE),"Runner-Up H")</f>
        <v>Runner-Up H</v>
      </c>
      <c r="I66" s="2" t="s">
        <v>104</v>
      </c>
      <c r="J66" s="22" t="s">
        <v>83</v>
      </c>
      <c r="L66" s="1" t="str">
        <f>IF(F66&lt;&gt;"",IF(F66&gt;G66,E66,IF(G66&gt;F66,H66,"Draw")),"Second Rd 6")</f>
        <v>Second Rd 6</v>
      </c>
      <c r="Y66" s="1" t="s">
        <v>61</v>
      </c>
    </row>
    <row r="67" spans="2:12" ht="13.5" thickBot="1">
      <c r="B67" s="31">
        <v>38530</v>
      </c>
      <c r="C67" s="32">
        <v>0.7083333333333334</v>
      </c>
      <c r="D67" s="40">
        <f t="shared" si="23"/>
        <v>55</v>
      </c>
      <c r="E67" s="33" t="str">
        <f>IF(AND(Q44=3,O44&lt;&gt;""),VLOOKUP(1,O44:P47,2,FALSE),"Winner F")</f>
        <v>Winner F</v>
      </c>
      <c r="F67" s="42"/>
      <c r="G67" s="42"/>
      <c r="H67" s="2" t="str">
        <f>IF(AND(Q38=3,O38&lt;&gt;""),VLOOKUP(2,O37:P40,2,FALSE),"Runner-Up E")</f>
        <v>Runner-Up E</v>
      </c>
      <c r="I67" s="2" t="s">
        <v>94</v>
      </c>
      <c r="J67" s="22" t="s">
        <v>79</v>
      </c>
      <c r="L67" s="1" t="str">
        <f>IF(F67&lt;&gt;"",IF(F67&gt;G67,E67,IF(G67&gt;F67,H67,"Draw")),"Second Rd 7")</f>
        <v>Second Rd 7</v>
      </c>
    </row>
    <row r="68" spans="2:12" ht="13.5" thickBot="1">
      <c r="B68" s="31">
        <v>38530</v>
      </c>
      <c r="C68" s="32">
        <v>0.875</v>
      </c>
      <c r="D68" s="40">
        <f t="shared" si="23"/>
        <v>56</v>
      </c>
      <c r="E68" s="33" t="str">
        <f>IF(AND(Q58=3,O58&lt;&gt;""),VLOOKUP(1,O58:P61,2,FALSE),"Winner H")</f>
        <v>Winner H</v>
      </c>
      <c r="F68" s="42"/>
      <c r="G68" s="42"/>
      <c r="H68" s="2" t="str">
        <f>IF(AND(Q52=3,O52&lt;&gt;""),VLOOKUP(2,O51:P54,2,FALSE),"Runner-Up G")</f>
        <v>Runner-Up G</v>
      </c>
      <c r="I68" s="2" t="s">
        <v>103</v>
      </c>
      <c r="J68" s="22" t="s">
        <v>84</v>
      </c>
      <c r="L68" s="1" t="str">
        <f>IF(F68&lt;&gt;"",IF(F68&gt;G68,E68,IF(G68&gt;F68,H68,"Draw")),"Second Rd 8")</f>
        <v>Second Rd 8</v>
      </c>
    </row>
    <row r="69" spans="6:7" ht="12.75">
      <c r="F69" s="29"/>
      <c r="G69" s="30"/>
    </row>
    <row r="70" spans="6:76" ht="12.75">
      <c r="F70" s="29"/>
      <c r="G70" s="30"/>
      <c r="BX70" s="1" t="s">
        <v>62</v>
      </c>
    </row>
    <row r="71" spans="2:11" ht="15">
      <c r="B71" s="59" t="s">
        <v>113</v>
      </c>
      <c r="C71" s="60"/>
      <c r="D71" s="60"/>
      <c r="E71" s="60"/>
      <c r="F71" s="60"/>
      <c r="G71" s="60"/>
      <c r="H71" s="60"/>
      <c r="I71" s="60"/>
      <c r="J71" s="60"/>
      <c r="K71" s="61"/>
    </row>
    <row r="72" spans="2:11" ht="15">
      <c r="B72" s="7" t="s">
        <v>13</v>
      </c>
      <c r="C72" s="8" t="s">
        <v>14</v>
      </c>
      <c r="D72" s="8" t="s">
        <v>91</v>
      </c>
      <c r="E72" s="9"/>
      <c r="F72" s="9"/>
      <c r="G72" s="9"/>
      <c r="H72" s="9"/>
      <c r="I72" s="9" t="s">
        <v>92</v>
      </c>
      <c r="J72" s="9" t="s">
        <v>15</v>
      </c>
      <c r="K72" s="10"/>
    </row>
    <row r="73" spans="6:7" ht="13.5" thickBot="1">
      <c r="F73" s="29"/>
      <c r="G73" s="30"/>
    </row>
    <row r="74" spans="2:12" ht="13.5" thickBot="1">
      <c r="B74" s="31">
        <v>38533</v>
      </c>
      <c r="C74" s="32">
        <v>0.7083333333333334</v>
      </c>
      <c r="D74" s="40">
        <f>D68+1</f>
        <v>57</v>
      </c>
      <c r="E74" s="33" t="str">
        <f>L61</f>
        <v>Second Rd 1</v>
      </c>
      <c r="F74" s="42"/>
      <c r="G74" s="42"/>
      <c r="H74" s="34" t="str">
        <f>L62</f>
        <v>Second Rd 2</v>
      </c>
      <c r="I74" s="34" t="s">
        <v>93</v>
      </c>
      <c r="J74" s="22" t="s">
        <v>85</v>
      </c>
      <c r="L74" s="1" t="str">
        <f>IF(F74&lt;&gt;"",IF(F74&gt;G74,E74,IF(G74&gt;F74,H74,"Draw")),"Quarter-Final 1")</f>
        <v>Quarter-Final 1</v>
      </c>
    </row>
    <row r="75" spans="2:12" ht="13.5" thickBot="1">
      <c r="B75" s="31">
        <v>38533</v>
      </c>
      <c r="C75" s="32">
        <v>0.875</v>
      </c>
      <c r="D75" s="40">
        <f>D74+1</f>
        <v>58</v>
      </c>
      <c r="E75" s="33" t="str">
        <f>L65</f>
        <v>Second Rd 5</v>
      </c>
      <c r="F75" s="42"/>
      <c r="G75" s="42"/>
      <c r="H75" s="2" t="str">
        <f>L66</f>
        <v>Second Rd 6</v>
      </c>
      <c r="I75" s="2" t="s">
        <v>102</v>
      </c>
      <c r="J75" s="22" t="s">
        <v>80</v>
      </c>
      <c r="L75" s="1" t="str">
        <f>IF(F75&lt;&gt;"",IF(F75&gt;G75,E75,IF(G75&gt;F75,H75,"Draw")),"Quarter-Final 2")</f>
        <v>Quarter-Final 2</v>
      </c>
    </row>
    <row r="76" spans="2:12" ht="13.5" thickBot="1">
      <c r="B76" s="31">
        <v>38534</v>
      </c>
      <c r="C76" s="32">
        <v>0.7083333333333334</v>
      </c>
      <c r="D76" s="40">
        <f>D75+1</f>
        <v>59</v>
      </c>
      <c r="E76" s="33" t="str">
        <f>L63</f>
        <v>Second Rd 3</v>
      </c>
      <c r="F76" s="42"/>
      <c r="G76" s="42"/>
      <c r="H76" s="34" t="str">
        <f>L64</f>
        <v>Second Rd 4</v>
      </c>
      <c r="I76" s="34" t="s">
        <v>101</v>
      </c>
      <c r="J76" s="22" t="s">
        <v>77</v>
      </c>
      <c r="L76" s="1" t="str">
        <f>IF(F76&lt;&gt;"",IF(F76&gt;G76,E76,IF(G76&gt;F76,H76,"Draw")),"Quarter-Final 3")</f>
        <v>Quarter-Final 3</v>
      </c>
    </row>
    <row r="77" spans="2:12" ht="13.5" thickBot="1">
      <c r="B77" s="31">
        <v>38534</v>
      </c>
      <c r="C77" s="32">
        <v>0.875</v>
      </c>
      <c r="D77" s="40">
        <f>D76+1</f>
        <v>60</v>
      </c>
      <c r="E77" s="33" t="str">
        <f>L67</f>
        <v>Second Rd 7</v>
      </c>
      <c r="F77" s="42"/>
      <c r="G77" s="42"/>
      <c r="H77" s="2" t="str">
        <f>L68</f>
        <v>Second Rd 8</v>
      </c>
      <c r="I77" s="2" t="s">
        <v>95</v>
      </c>
      <c r="J77" s="22" t="s">
        <v>78</v>
      </c>
      <c r="L77" s="1" t="str">
        <f>IF(F77&lt;&gt;"",IF(F77&gt;G77,E77,IF(G77&gt;F77,H77,"Draw")),"Quarter-Final 4")</f>
        <v>Quarter-Final 4</v>
      </c>
    </row>
    <row r="78" spans="2:7" ht="12.75">
      <c r="B78" s="35"/>
      <c r="C78" s="32"/>
      <c r="D78" s="32"/>
      <c r="F78" s="36"/>
      <c r="G78" s="23"/>
    </row>
    <row r="79" spans="6:7" ht="12.75">
      <c r="F79" s="29"/>
      <c r="G79" s="30"/>
    </row>
    <row r="80" spans="2:11" ht="15">
      <c r="B80" s="59" t="s">
        <v>112</v>
      </c>
      <c r="C80" s="60"/>
      <c r="D80" s="60"/>
      <c r="E80" s="60"/>
      <c r="F80" s="60"/>
      <c r="G80" s="60"/>
      <c r="H80" s="60"/>
      <c r="I80" s="60"/>
      <c r="J80" s="60"/>
      <c r="K80" s="61"/>
    </row>
    <row r="81" spans="2:11" ht="15">
      <c r="B81" s="7" t="s">
        <v>13</v>
      </c>
      <c r="C81" s="8" t="s">
        <v>14</v>
      </c>
      <c r="D81" s="8" t="s">
        <v>91</v>
      </c>
      <c r="E81" s="9"/>
      <c r="F81" s="9"/>
      <c r="G81" s="9"/>
      <c r="H81" s="9"/>
      <c r="I81" s="9" t="s">
        <v>92</v>
      </c>
      <c r="J81" s="9" t="s">
        <v>15</v>
      </c>
      <c r="K81" s="10"/>
    </row>
    <row r="82" spans="6:7" ht="13.5" thickBot="1">
      <c r="F82" s="29"/>
      <c r="G82" s="30"/>
    </row>
    <row r="83" spans="2:13" ht="13.5" thickBot="1">
      <c r="B83" s="31">
        <v>38537</v>
      </c>
      <c r="C83" s="32">
        <v>0.875</v>
      </c>
      <c r="D83" s="40">
        <f>D77+1</f>
        <v>61</v>
      </c>
      <c r="E83" s="33" t="str">
        <f>L74</f>
        <v>Quarter-Final 1</v>
      </c>
      <c r="F83" s="42"/>
      <c r="G83" s="42"/>
      <c r="H83" s="37" t="str">
        <f>L75</f>
        <v>Quarter-Final 2</v>
      </c>
      <c r="I83" s="37" t="s">
        <v>94</v>
      </c>
      <c r="J83" s="22" t="s">
        <v>79</v>
      </c>
      <c r="L83" s="1" t="str">
        <f>IF(F83&lt;&gt;"",IF(F83&gt;G83,E83,IF(G83&gt;F83,H83,"Draw")),"Semi-Final 1")</f>
        <v>Semi-Final 1</v>
      </c>
      <c r="M83" s="1" t="str">
        <f>IF(F83&lt;&gt;"",IF(F83&lt;G83,E83,IF(G83&lt;F83,H83,"Draw")),"L-Semi-Final 1")</f>
        <v>L-Semi-Final 1</v>
      </c>
    </row>
    <row r="84" spans="2:13" ht="13.5" thickBot="1">
      <c r="B84" s="31">
        <v>38538</v>
      </c>
      <c r="C84" s="32">
        <v>0.875</v>
      </c>
      <c r="D84" s="40">
        <f>D83+1</f>
        <v>62</v>
      </c>
      <c r="E84" s="33" t="str">
        <f>L76</f>
        <v>Quarter-Final 3</v>
      </c>
      <c r="F84" s="42"/>
      <c r="G84" s="42"/>
      <c r="H84" s="37" t="str">
        <f>L77</f>
        <v>Quarter-Final 4</v>
      </c>
      <c r="I84" s="37" t="s">
        <v>100</v>
      </c>
      <c r="J84" s="1" t="s">
        <v>76</v>
      </c>
      <c r="L84" s="1" t="str">
        <f>IF(F84&lt;&gt;"",IF(F84&gt;G84,E84,IF(G84&gt;F84,H84,"Draw")),"Semi-Final 2")</f>
        <v>Semi-Final 2</v>
      </c>
      <c r="M84" s="1" t="str">
        <f>IF(F84&lt;&gt;"",IF(F84&lt;G84,E84,IF(G84&lt;F84,H84,"Draw")),"L-Semi-Final 2")</f>
        <v>L-Semi-Final 2</v>
      </c>
    </row>
    <row r="85" spans="2:9" ht="12.75">
      <c r="B85" s="31"/>
      <c r="C85" s="32"/>
      <c r="D85" s="40"/>
      <c r="E85" s="33"/>
      <c r="F85" s="46"/>
      <c r="G85" s="46"/>
      <c r="H85" s="37"/>
      <c r="I85" s="37"/>
    </row>
    <row r="86" spans="2:12" ht="15">
      <c r="B86" s="59" t="s">
        <v>111</v>
      </c>
      <c r="C86" s="60"/>
      <c r="D86" s="60"/>
      <c r="E86" s="60"/>
      <c r="F86" s="60"/>
      <c r="G86" s="60"/>
      <c r="H86" s="60"/>
      <c r="I86" s="60"/>
      <c r="J86" s="60"/>
      <c r="K86" s="61"/>
      <c r="L86" s="1">
        <f>IF(F89&lt;&gt;"",IF(F89&gt;G89,E89,IF(G89&gt;F89,H89,"Draw")),"")</f>
      </c>
    </row>
    <row r="87" spans="2:11" ht="15">
      <c r="B87" s="7" t="s">
        <v>13</v>
      </c>
      <c r="C87" s="8" t="s">
        <v>14</v>
      </c>
      <c r="D87" s="8" t="s">
        <v>91</v>
      </c>
      <c r="E87" s="9"/>
      <c r="F87" s="9"/>
      <c r="G87" s="9"/>
      <c r="H87" s="9"/>
      <c r="I87" s="9" t="s">
        <v>92</v>
      </c>
      <c r="J87" s="9" t="s">
        <v>15</v>
      </c>
      <c r="K87" s="10"/>
    </row>
    <row r="88" spans="6:7" ht="13.5" thickBot="1">
      <c r="F88" s="29"/>
      <c r="G88" s="30"/>
    </row>
    <row r="89" spans="2:10" ht="13.5" thickBot="1">
      <c r="B89" s="31">
        <v>38541</v>
      </c>
      <c r="C89" s="32">
        <v>0.875</v>
      </c>
      <c r="D89" s="40">
        <f>D84+1</f>
        <v>63</v>
      </c>
      <c r="E89" s="33" t="str">
        <f>M83</f>
        <v>L-Semi-Final 1</v>
      </c>
      <c r="F89" s="42"/>
      <c r="G89" s="42"/>
      <c r="H89" s="2" t="str">
        <f>M84</f>
        <v>L-Semi-Final 2</v>
      </c>
      <c r="I89" s="2" t="s">
        <v>98</v>
      </c>
      <c r="J89" s="22" t="s">
        <v>86</v>
      </c>
    </row>
    <row r="90" spans="6:7" ht="12.75">
      <c r="F90" s="29"/>
      <c r="G90" s="30"/>
    </row>
    <row r="91" spans="3:23" ht="18">
      <c r="C91" s="24" t="s">
        <v>109</v>
      </c>
      <c r="D91" s="24"/>
      <c r="E91" s="38">
        <f>L86</f>
      </c>
      <c r="L91" s="1" t="s">
        <v>57</v>
      </c>
      <c r="W91" s="1" t="s">
        <v>57</v>
      </c>
    </row>
    <row r="92" ht="12.75">
      <c r="C92" s="1" t="s">
        <v>57</v>
      </c>
    </row>
    <row r="93" spans="6:7" ht="12.75">
      <c r="F93" s="29"/>
      <c r="G93" s="30"/>
    </row>
    <row r="94" spans="2:12" ht="15">
      <c r="B94" s="59" t="s">
        <v>110</v>
      </c>
      <c r="C94" s="60"/>
      <c r="D94" s="60"/>
      <c r="E94" s="60"/>
      <c r="F94" s="60"/>
      <c r="G94" s="60"/>
      <c r="H94" s="60"/>
      <c r="I94" s="60"/>
      <c r="J94" s="60"/>
      <c r="K94" s="61"/>
      <c r="L94" s="1">
        <f>IF(F97&lt;&gt;"",IF(F97&gt;G97,E97,IF(G97&gt;F97,H97,"Draw")),"")</f>
      </c>
    </row>
    <row r="95" spans="2:11" ht="15">
      <c r="B95" s="7" t="s">
        <v>13</v>
      </c>
      <c r="C95" s="8" t="s">
        <v>14</v>
      </c>
      <c r="D95" s="8" t="s">
        <v>91</v>
      </c>
      <c r="E95" s="9"/>
      <c r="F95" s="9"/>
      <c r="G95" s="9"/>
      <c r="H95" s="9"/>
      <c r="I95" s="9" t="s">
        <v>92</v>
      </c>
      <c r="J95" s="9" t="s">
        <v>15</v>
      </c>
      <c r="K95" s="10"/>
    </row>
    <row r="96" spans="6:7" ht="13.5" thickBot="1">
      <c r="F96" s="29"/>
      <c r="G96" s="30"/>
    </row>
    <row r="97" spans="2:12" ht="13.5" thickBot="1">
      <c r="B97" s="31">
        <v>38542</v>
      </c>
      <c r="C97" s="32">
        <v>0.8333333333333334</v>
      </c>
      <c r="D97" s="40">
        <f>D84+2</f>
        <v>64</v>
      </c>
      <c r="E97" s="33" t="str">
        <f>L83</f>
        <v>Semi-Final 1</v>
      </c>
      <c r="F97" s="42"/>
      <c r="G97" s="42"/>
      <c r="H97" s="2" t="str">
        <f>L84</f>
        <v>Semi-Final 2</v>
      </c>
      <c r="I97" s="2" t="s">
        <v>93</v>
      </c>
      <c r="J97" s="22" t="s">
        <v>85</v>
      </c>
      <c r="L97" s="1" t="s">
        <v>57</v>
      </c>
    </row>
    <row r="98" ht="12.75">
      <c r="C98" s="1" t="s">
        <v>57</v>
      </c>
    </row>
    <row r="99" spans="3:23" ht="18">
      <c r="C99" s="24" t="s">
        <v>63</v>
      </c>
      <c r="D99" s="24"/>
      <c r="E99" s="38">
        <f>L94</f>
      </c>
      <c r="W99" s="1" t="s">
        <v>57</v>
      </c>
    </row>
    <row r="100" ht="13.5" thickBot="1">
      <c r="C100" s="1" t="s">
        <v>57</v>
      </c>
    </row>
    <row r="101" spans="1:5" ht="15" customHeight="1" thickBot="1">
      <c r="A101" s="48" t="s">
        <v>108</v>
      </c>
      <c r="B101" s="49"/>
      <c r="C101" s="49"/>
      <c r="E101" s="47">
        <f>SUM(F8:F55,G8:G55,F61:F68,G61:G68,F74:F77,G74:G77,F83:F84,G83:G84,F89,F97,G97)</f>
        <v>3</v>
      </c>
    </row>
    <row r="102" ht="12.75">
      <c r="W102" s="1" t="s">
        <v>57</v>
      </c>
    </row>
    <row r="104" ht="12.75"/>
    <row r="105" ht="12.75"/>
    <row r="106" ht="12.75"/>
    <row r="107" ht="12.75"/>
  </sheetData>
  <sheetProtection password="CC0B" sheet="1" objects="1" scenarios="1" selectLockedCells="1"/>
  <mergeCells count="9">
    <mergeCell ref="A101:C101"/>
    <mergeCell ref="O2:X4"/>
    <mergeCell ref="B94:K94"/>
    <mergeCell ref="F2:K2"/>
    <mergeCell ref="B58:K58"/>
    <mergeCell ref="B71:K71"/>
    <mergeCell ref="B80:K80"/>
    <mergeCell ref="B86:K86"/>
    <mergeCell ref="B5:K5"/>
  </mergeCells>
  <dataValidations count="2">
    <dataValidation type="whole" allowBlank="1" showInputMessage="1" showErrorMessage="1" sqref="O7:O10 O58:O61 O51:O54 O44:O47 O37:O40 O28:O31 O21:O24 O14:O17">
      <formula1>1</formula1>
      <formula2>4</formula2>
    </dataValidation>
    <dataValidation type="whole" allowBlank="1" showInputMessage="1" showErrorMessage="1" sqref="F8:G55 F61:G68 F74:G77 F89:G89 F83:G85 F97:G97">
      <formula1>0</formula1>
      <formula2>30</formula2>
    </dataValidation>
  </dataValidation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60" r:id="rId5"/>
  <ignoredErrors>
    <ignoredError sqref="E75:E76 H75:H76" formula="1"/>
  </ignoredErrors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B4" sqref="B4"/>
    </sheetView>
  </sheetViews>
  <sheetFormatPr defaultColWidth="9.140625" defaultRowHeight="12.75"/>
  <cols>
    <col min="1" max="1" width="15.00390625" style="0" bestFit="1" customWidth="1"/>
  </cols>
  <sheetData>
    <row r="2" ht="12.75">
      <c r="A2" t="s">
        <v>64</v>
      </c>
    </row>
    <row r="4" spans="1:2" ht="12.75">
      <c r="A4" t="s">
        <v>65</v>
      </c>
      <c r="B4">
        <v>3</v>
      </c>
    </row>
    <row r="5" spans="1:2" ht="12.75">
      <c r="A5" t="s">
        <v>66</v>
      </c>
      <c r="B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FIFA World Cup 2006 Electronic Wallchart</dc:title>
  <dc:subject/>
  <dc:creator>Guy Koster</dc:creator>
  <cp:keywords/>
  <dc:description/>
  <cp:lastModifiedBy>Stefan Feremans</cp:lastModifiedBy>
  <cp:lastPrinted>2005-12-11T20:37:34Z</cp:lastPrinted>
  <dcterms:created xsi:type="dcterms:W3CDTF">2005-12-11T16:29:09Z</dcterms:created>
  <dcterms:modified xsi:type="dcterms:W3CDTF">2006-02-23T16:08:56Z</dcterms:modified>
  <cp:category/>
  <cp:version/>
  <cp:contentType/>
  <cp:contentStatus/>
</cp:coreProperties>
</file>